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checkCompatibility="1"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/Users/martin/Downloads/"/>
    </mc:Choice>
  </mc:AlternateContent>
  <xr:revisionPtr revIDLastSave="0" documentId="13_ncr:1_{F1160115-94B7-AB4E-87A1-FCBC8C983C55}" xr6:coauthVersionLast="47" xr6:coauthVersionMax="47" xr10:uidLastSave="{00000000-0000-0000-0000-000000000000}"/>
  <workbookProtection workbookAlgorithmName="SHA-512" workbookHashValue="E9ZTR614/2kmt71UuXy5aPVJaPcq5pwTYzV5cX9J8QmRAEuISG+kLQpiAZybI4ppAs9Pvg77Z8QUsHDDnNrTIg==" workbookSaltValue="zwTatjRy1+QGjNZt7wnhiA==" workbookSpinCount="100000" lockStructure="1"/>
  <bookViews>
    <workbookView xWindow="37060" yWindow="-21100" windowWidth="38400" windowHeight="21100" xr2:uid="{00000000-000D-0000-FFFF-FFFF00000000}"/>
  </bookViews>
  <sheets>
    <sheet name="AAI Sizing" sheetId="14" r:id="rId1"/>
    <sheet name="Initial" sheetId="2" state="hidden" r:id="rId2"/>
    <sheet name="Y1" sheetId="10" state="hidden" r:id="rId3"/>
    <sheet name="Y2" sheetId="11" state="hidden" r:id="rId4"/>
    <sheet name="Y3" sheetId="12" state="hidden" r:id="rId5"/>
    <sheet name="Y4" sheetId="13" state="hidden" r:id="rId6"/>
    <sheet name="Y5" sheetId="16" state="hidden" r:id="rId7"/>
  </sheets>
  <definedNames>
    <definedName name="BasicMinMemory">Initial!$G$7</definedName>
    <definedName name="BytesPerJobDefinition">Initial!$G$2</definedName>
    <definedName name="BytesPerJobInTheGraph">Initial!$G$8</definedName>
    <definedName name="BytesPerJobRun">Initial!$G$5</definedName>
    <definedName name="DaysOfHistoryRetention">'AAI Sizing'!$C$9</definedName>
    <definedName name="HoursOfCompletedRunsInMemory">'AAI Sizing'!$C$10</definedName>
    <definedName name="HoursOfForecastedRunsInMemory">'AAI Sizing'!$C$11</definedName>
    <definedName name="IWSJobCountInitial">Initial!$B$4</definedName>
    <definedName name="IWSJobCountY1">'Y1'!$B$4</definedName>
    <definedName name="JobCountGrowthPerYear">'AAI Sizing'!$C$5</definedName>
    <definedName name="JobCountNonIWS">Initial!$B$3</definedName>
    <definedName name="JobCountY1">'Y1'!$B$3</definedName>
    <definedName name="JobDefinitionCountIWS">'AAI Sizing'!$C$4</definedName>
    <definedName name="JobDefinitionCountNonIWS">'AAI Sizing'!$C$3</definedName>
    <definedName name="JobRunsPerDay">'AAI Sizing'!$C$7</definedName>
    <definedName name="JobRunsPerDayInitial">'AAI Sizing'!$C$7</definedName>
    <definedName name="JobRunsPerDayY1">'AAI Sizing'!$D$7</definedName>
    <definedName name="JobRunsPerDayY2">'AAI Sizing'!$E$7</definedName>
    <definedName name="JobRunsPerDayY3">'AAI Sizing'!$F$7</definedName>
    <definedName name="JobRunsPerDayY4">'AAI Sizing'!$G$7</definedName>
    <definedName name="JobRunsPerDayY5">'AAI Sizing'!$H$7</definedName>
    <definedName name="MaxPercentMemUtilization">Initial!$G$3</definedName>
    <definedName name="MemoryForJobRuns">Initial!$L$13</definedName>
    <definedName name="MemoryGBForOS">'AAI Sizing'!$C$14</definedName>
    <definedName name="MemoryJobDefsIWSJobs">Initial!$J$12</definedName>
    <definedName name="MemoryJobDefsNonIWSJobs">Initial!$H$12</definedName>
    <definedName name="MemoryNonIWSJobs">Initial!$H$12</definedName>
    <definedName name="MemoryPredictionGraphIWSJobs">Initial!$J$14</definedName>
    <definedName name="MemoryPredictionGraphNonIWSJobs">Initial!$H$14</definedName>
    <definedName name="NumberOfDaysOfHistory">'AAI Sizing'!$C$9</definedName>
    <definedName name="NumberOfGraphsForIWS">Initial!$G$6</definedName>
    <definedName name="NumberOfGraphsForNonIWS">Initial!$G$4</definedName>
    <definedName name="NumberOfSchedulerInstances">'AAI Sizing'!$C$6</definedName>
    <definedName name="PercentageOfJobRunGrowthPerYear">'AAI Sizing'!$C$8</definedName>
    <definedName name="TotalMemoryForJobDefs">Initial!$H$17</definedName>
    <definedName name="TotalMemoryForJobDefsIWS">Initial!$J$17</definedName>
    <definedName name="TotalMemoryForJobDefsIWSJobs">Initial!$J$17</definedName>
    <definedName name="TotalMemoryForJobDefsNonIWS">Initial!$H$17</definedName>
    <definedName name="TotalMemoryForJobRuns">Initial!$L$17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32" i="14" l="1"/>
  <c r="G32" i="14"/>
  <c r="F32" i="14"/>
  <c r="E32" i="14"/>
  <c r="D32" i="14"/>
  <c r="C32" i="14"/>
  <c r="D28" i="14"/>
  <c r="E28" i="14" s="1"/>
  <c r="F28" i="14" s="1"/>
  <c r="G28" i="14" s="1"/>
  <c r="H28" i="14" s="1"/>
  <c r="L13" i="2"/>
  <c r="D21" i="14"/>
  <c r="E21" i="14" s="1"/>
  <c r="F21" i="14" s="1"/>
  <c r="G21" i="14" s="1"/>
  <c r="H21" i="14" s="1"/>
  <c r="D14" i="14"/>
  <c r="E14" i="14" s="1"/>
  <c r="F14" i="14" s="1"/>
  <c r="G14" i="14" s="1"/>
  <c r="H14" i="14" s="1"/>
  <c r="B8" i="2" l="1"/>
  <c r="B8" i="10" s="1"/>
  <c r="B7" i="2"/>
  <c r="B7" i="10" s="1"/>
  <c r="B6" i="2"/>
  <c r="B5" i="2"/>
  <c r="D10" i="2" s="1"/>
  <c r="B4" i="2"/>
  <c r="B3" i="2"/>
  <c r="G5" i="2"/>
  <c r="L17" i="2" s="1"/>
  <c r="D8" i="14"/>
  <c r="E8" i="14" s="1"/>
  <c r="F8" i="14" s="1"/>
  <c r="G8" i="14" s="1"/>
  <c r="H8" i="14" s="1"/>
  <c r="D5" i="14"/>
  <c r="E5" i="14" s="1"/>
  <c r="F5" i="14" s="1"/>
  <c r="G5" i="14" s="1"/>
  <c r="H5" i="14" s="1"/>
  <c r="G8" i="2"/>
  <c r="G2" i="2"/>
  <c r="D9" i="14"/>
  <c r="E9" i="14" s="1"/>
  <c r="F9" i="14" s="1"/>
  <c r="G9" i="14" s="1"/>
  <c r="H9" i="14" s="1"/>
  <c r="D19" i="2" l="1"/>
  <c r="D20" i="2"/>
  <c r="D11" i="2"/>
  <c r="C18" i="14" s="1"/>
  <c r="D13" i="2"/>
  <c r="D31" i="2"/>
  <c r="C41" i="14" s="1"/>
  <c r="D27" i="2"/>
  <c r="C37" i="14" s="1"/>
  <c r="D15" i="2"/>
  <c r="C25" i="14" s="1"/>
  <c r="D26" i="2"/>
  <c r="C36" i="14" s="1"/>
  <c r="D25" i="2"/>
  <c r="C35" i="14" s="1"/>
  <c r="D30" i="2"/>
  <c r="C40" i="14" s="1"/>
  <c r="C30" i="14"/>
  <c r="C17" i="14"/>
  <c r="H14" i="2"/>
  <c r="J12" i="2"/>
  <c r="H12" i="2"/>
  <c r="J14" i="2"/>
  <c r="B3" i="10"/>
  <c r="D3" i="14" s="1"/>
  <c r="B4" i="10"/>
  <c r="D7" i="14"/>
  <c r="L15" i="10" s="1"/>
  <c r="B8" i="11"/>
  <c r="D11" i="14"/>
  <c r="D10" i="14"/>
  <c r="B7" i="11"/>
  <c r="C31" i="14"/>
  <c r="B5" i="10"/>
  <c r="B6" i="10"/>
  <c r="D14" i="2"/>
  <c r="D6" i="14" l="1"/>
  <c r="D10" i="10"/>
  <c r="D17" i="14" s="1"/>
  <c r="D20" i="10"/>
  <c r="D19" i="10"/>
  <c r="C22" i="14"/>
  <c r="C23" i="14"/>
  <c r="C29" i="14"/>
  <c r="D26" i="10"/>
  <c r="D36" i="14" s="1"/>
  <c r="D11" i="10"/>
  <c r="D18" i="14" s="1"/>
  <c r="D30" i="10"/>
  <c r="D40" i="14" s="1"/>
  <c r="D15" i="10"/>
  <c r="D25" i="14" s="1"/>
  <c r="D31" i="10"/>
  <c r="D41" i="14" s="1"/>
  <c r="D27" i="10"/>
  <c r="D37" i="14" s="1"/>
  <c r="D25" i="10"/>
  <c r="D35" i="14" s="1"/>
  <c r="D30" i="14"/>
  <c r="D13" i="10"/>
  <c r="D22" i="14" s="1"/>
  <c r="D14" i="10"/>
  <c r="J17" i="2"/>
  <c r="H16" i="10"/>
  <c r="H24" i="14"/>
  <c r="C24" i="14"/>
  <c r="D24" i="14"/>
  <c r="E24" i="14"/>
  <c r="F24" i="14"/>
  <c r="G24" i="14"/>
  <c r="H17" i="2"/>
  <c r="L18" i="2" s="1"/>
  <c r="G23" i="14"/>
  <c r="F23" i="14"/>
  <c r="E23" i="14"/>
  <c r="D23" i="14"/>
  <c r="H23" i="14"/>
  <c r="J14" i="10"/>
  <c r="J16" i="10"/>
  <c r="H14" i="10"/>
  <c r="B4" i="11"/>
  <c r="J16" i="11" s="1"/>
  <c r="B3" i="11"/>
  <c r="E7" i="14"/>
  <c r="L15" i="11" s="1"/>
  <c r="B8" i="12"/>
  <c r="E11" i="14"/>
  <c r="E10" i="14"/>
  <c r="B7" i="12"/>
  <c r="B5" i="11"/>
  <c r="D31" i="14"/>
  <c r="D4" i="14"/>
  <c r="B6" i="11"/>
  <c r="B5" i="12" l="1"/>
  <c r="D10" i="12" s="1"/>
  <c r="F17" i="14" s="1"/>
  <c r="D10" i="11"/>
  <c r="E17" i="14" s="1"/>
  <c r="D20" i="11"/>
  <c r="E31" i="14" s="1"/>
  <c r="D19" i="11"/>
  <c r="D25" i="11"/>
  <c r="E35" i="14" s="1"/>
  <c r="D31" i="11"/>
  <c r="E41" i="14" s="1"/>
  <c r="D27" i="11"/>
  <c r="E37" i="14" s="1"/>
  <c r="D15" i="11"/>
  <c r="E25" i="14" s="1"/>
  <c r="D11" i="11"/>
  <c r="E18" i="14" s="1"/>
  <c r="D30" i="11"/>
  <c r="E40" i="14" s="1"/>
  <c r="D26" i="11"/>
  <c r="E36" i="14" s="1"/>
  <c r="D29" i="14"/>
  <c r="E30" i="14"/>
  <c r="D14" i="11"/>
  <c r="D13" i="11"/>
  <c r="E22" i="14" s="1"/>
  <c r="H16" i="11"/>
  <c r="L19" i="11"/>
  <c r="B3" i="12"/>
  <c r="H14" i="11"/>
  <c r="B4" i="12"/>
  <c r="J14" i="11"/>
  <c r="F7" i="14"/>
  <c r="L15" i="12" s="1"/>
  <c r="J19" i="10"/>
  <c r="H19" i="10"/>
  <c r="F11" i="14"/>
  <c r="B8" i="13"/>
  <c r="F10" i="14"/>
  <c r="B7" i="13"/>
  <c r="E6" i="14"/>
  <c r="E3" i="14"/>
  <c r="E4" i="14"/>
  <c r="B6" i="12"/>
  <c r="B5" i="13" l="1"/>
  <c r="D10" i="13" s="1"/>
  <c r="G17" i="14" s="1"/>
  <c r="B5" i="16"/>
  <c r="D10" i="16" s="1"/>
  <c r="H17" i="14" s="1"/>
  <c r="F6" i="14"/>
  <c r="D20" i="12"/>
  <c r="D19" i="12"/>
  <c r="C16" i="14"/>
  <c r="C15" i="14"/>
  <c r="E29" i="14"/>
  <c r="D11" i="12"/>
  <c r="F18" i="14" s="1"/>
  <c r="D25" i="12"/>
  <c r="F35" i="14" s="1"/>
  <c r="D15" i="12"/>
  <c r="F25" i="14" s="1"/>
  <c r="D31" i="12"/>
  <c r="F41" i="14" s="1"/>
  <c r="D30" i="12"/>
  <c r="F40" i="14" s="1"/>
  <c r="D27" i="12"/>
  <c r="F37" i="14" s="1"/>
  <c r="D26" i="12"/>
  <c r="F36" i="14" s="1"/>
  <c r="D14" i="12"/>
  <c r="D13" i="12"/>
  <c r="F22" i="14" s="1"/>
  <c r="H16" i="12"/>
  <c r="F3" i="14"/>
  <c r="J16" i="12"/>
  <c r="G7" i="14"/>
  <c r="L19" i="12"/>
  <c r="B3" i="13"/>
  <c r="H14" i="12"/>
  <c r="B4" i="13"/>
  <c r="J16" i="13" s="1"/>
  <c r="J14" i="12"/>
  <c r="G11" i="14"/>
  <c r="B8" i="16"/>
  <c r="H11" i="14" s="1"/>
  <c r="G10" i="14"/>
  <c r="B7" i="16"/>
  <c r="H10" i="14" s="1"/>
  <c r="F31" i="14"/>
  <c r="F4" i="14"/>
  <c r="B6" i="16"/>
  <c r="B6" i="13"/>
  <c r="G6" i="14" l="1"/>
  <c r="H6" i="14"/>
  <c r="D19" i="13"/>
  <c r="D20" i="13"/>
  <c r="D26" i="13"/>
  <c r="G36" i="14" s="1"/>
  <c r="D27" i="13"/>
  <c r="G37" i="14" s="1"/>
  <c r="D15" i="13"/>
  <c r="G25" i="14" s="1"/>
  <c r="D31" i="13"/>
  <c r="G41" i="14" s="1"/>
  <c r="D30" i="13"/>
  <c r="G40" i="14" s="1"/>
  <c r="D25" i="13"/>
  <c r="G35" i="14" s="1"/>
  <c r="D11" i="13"/>
  <c r="G18" i="14" s="1"/>
  <c r="F29" i="14"/>
  <c r="F30" i="14"/>
  <c r="D14" i="13"/>
  <c r="D13" i="13"/>
  <c r="G22" i="14" s="1"/>
  <c r="H19" i="12"/>
  <c r="H16" i="13"/>
  <c r="H7" i="14"/>
  <c r="L15" i="16" s="1"/>
  <c r="L19" i="16" s="1"/>
  <c r="L15" i="13"/>
  <c r="L19" i="13" s="1"/>
  <c r="G3" i="14"/>
  <c r="B3" i="16"/>
  <c r="H14" i="13"/>
  <c r="B4" i="16"/>
  <c r="J16" i="16" s="1"/>
  <c r="J14" i="13"/>
  <c r="L19" i="10"/>
  <c r="L20" i="10" s="1"/>
  <c r="J19" i="12"/>
  <c r="J19" i="11"/>
  <c r="H19" i="11"/>
  <c r="G4" i="14"/>
  <c r="G31" i="14"/>
  <c r="D20" i="16" l="1"/>
  <c r="D19" i="16"/>
  <c r="D16" i="14"/>
  <c r="D15" i="14"/>
  <c r="D11" i="16"/>
  <c r="H18" i="14" s="1"/>
  <c r="D31" i="16"/>
  <c r="H41" i="14" s="1"/>
  <c r="D30" i="16"/>
  <c r="H40" i="14" s="1"/>
  <c r="D27" i="16"/>
  <c r="H37" i="14" s="1"/>
  <c r="D26" i="16"/>
  <c r="H36" i="14" s="1"/>
  <c r="D25" i="16"/>
  <c r="H35" i="14" s="1"/>
  <c r="D15" i="16"/>
  <c r="H25" i="14" s="1"/>
  <c r="G29" i="14"/>
  <c r="G30" i="14"/>
  <c r="L20" i="12"/>
  <c r="D14" i="16"/>
  <c r="D13" i="16"/>
  <c r="H22" i="14" s="1"/>
  <c r="L20" i="11"/>
  <c r="H16" i="16"/>
  <c r="H3" i="14"/>
  <c r="H14" i="16"/>
  <c r="J14" i="16"/>
  <c r="H19" i="13"/>
  <c r="J19" i="13"/>
  <c r="H31" i="14"/>
  <c r="H4" i="14"/>
  <c r="F15" i="14" l="1"/>
  <c r="F16" i="14"/>
  <c r="H29" i="14"/>
  <c r="H30" i="14"/>
  <c r="E16" i="14"/>
  <c r="E15" i="14"/>
  <c r="H19" i="16"/>
  <c r="L20" i="13"/>
  <c r="J19" i="16"/>
  <c r="G16" i="14" l="1"/>
  <c r="G15" i="14"/>
  <c r="L20" i="16"/>
  <c r="H16" i="14" l="1"/>
  <c r="H15" i="14"/>
</calcChain>
</file>

<file path=xl/sharedStrings.xml><?xml version="1.0" encoding="utf-8"?>
<sst xmlns="http://schemas.openxmlformats.org/spreadsheetml/2006/main" count="324" uniqueCount="71">
  <si>
    <t>Total number of Jobs</t>
  </si>
  <si>
    <t>Total number of Schedulers</t>
  </si>
  <si>
    <t>Number of Days of History Retention</t>
  </si>
  <si>
    <t>Platform Server Recommended CPU Cores</t>
  </si>
  <si>
    <t>Oracle DATA Tablespace Size</t>
  </si>
  <si>
    <t>Oracle INDEX Tablespace Size</t>
  </si>
  <si>
    <t>Oracle TEMP Tablespace Size</t>
  </si>
  <si>
    <t>SQL Server DATA File Size</t>
  </si>
  <si>
    <t>SQL Server LOG File Size</t>
  </si>
  <si>
    <t>Terma Analytics Server Sizing Worksheet</t>
  </si>
  <si>
    <t>Terma ANALYTICS Platform Server</t>
  </si>
  <si>
    <t>Oracle DB Tablespace Sizing</t>
  </si>
  <si>
    <t>MS SQL Server Data File Sizing</t>
  </si>
  <si>
    <t>Initial</t>
  </si>
  <si>
    <t>End of  Year 1</t>
  </si>
  <si>
    <t>End of Year 2</t>
  </si>
  <si>
    <t>End of Year 4</t>
  </si>
  <si>
    <t>End of Year 5</t>
  </si>
  <si>
    <t>End of Year 3</t>
  </si>
  <si>
    <t>Enter this value -----&gt;</t>
  </si>
  <si>
    <t>AAI Platform Server</t>
  </si>
  <si>
    <t>AAI Reporting Server</t>
  </si>
  <si>
    <t>Bytes per job definition</t>
  </si>
  <si>
    <t>Bytes per job run</t>
  </si>
  <si>
    <t>Non-IWS</t>
  </si>
  <si>
    <t>IWS</t>
  </si>
  <si>
    <t>IWS environments (plan dates)</t>
  </si>
  <si>
    <t>Total number of IWS jobs</t>
  </si>
  <si>
    <t>Total number of non-IWS jobs</t>
  </si>
  <si>
    <t xml:space="preserve">AAI Connector Server </t>
  </si>
  <si>
    <t>Recommended Memory</t>
  </si>
  <si>
    <t>CPU Cores</t>
  </si>
  <si>
    <t>File system storage</t>
  </si>
  <si>
    <t>Recommended CPU Cores</t>
  </si>
  <si>
    <t>AAI Sizing Calculator</t>
  </si>
  <si>
    <t>Percentage of job count growth per year (e.g. 5%)</t>
  </si>
  <si>
    <r>
      <t xml:space="preserve">AAI Connector Server </t>
    </r>
    <r>
      <rPr>
        <b/>
        <sz val="11"/>
        <rFont val="Calibri"/>
        <family val="2"/>
        <scheme val="minor"/>
      </rPr>
      <t>(calculate separately for each scheduler type: Automic, BMC, ESP, IWS)</t>
    </r>
  </si>
  <si>
    <t>Total number of jobs in IWS scheduler instances</t>
  </si>
  <si>
    <t>Total  number of jobs in all instances of AutoSys, Automic, BMC, CA7, ESP, Tidal (non-IWS schedulers)</t>
  </si>
  <si>
    <t>Total number of job runs per day in all scheduler instances connected</t>
  </si>
  <si>
    <t>Percentage of job run growth per year (e.g. 10%)</t>
  </si>
  <si>
    <t>Number of days of history retention</t>
  </si>
  <si>
    <t>Hours of job runs in memory</t>
  </si>
  <si>
    <t>Hours of completed job runs in memory (server parameter recentRunsDuration: default 48 hours)</t>
  </si>
  <si>
    <t>Hours of forecasted job runs in memory</t>
  </si>
  <si>
    <t>Hours of completed job runs in memory</t>
  </si>
  <si>
    <t>Total number of scheduler instances connected to this AAI server</t>
  </si>
  <si>
    <t>Memory for job runs</t>
  </si>
  <si>
    <t>Memory for the prediction graph</t>
  </si>
  <si>
    <t>Memory for job definitions</t>
  </si>
  <si>
    <t>MB</t>
  </si>
  <si>
    <t>Bytes per job in the graph</t>
  </si>
  <si>
    <t>GB</t>
  </si>
  <si>
    <t>All Job Runs in AAI</t>
  </si>
  <si>
    <t>Recommendation</t>
  </si>
  <si>
    <t>Hours of forecasted job runs in memory (server parameter forecastPeriod: default 48 hours)</t>
  </si>
  <si>
    <t>Basic minimum Memory (GB)</t>
  </si>
  <si>
    <t>Maximum % of memory utilization in AAI (headroom)</t>
  </si>
  <si>
    <t>Graphs for all schedulers</t>
  </si>
  <si>
    <t>Minimum of free file system storage</t>
  </si>
  <si>
    <t>Minimum CPU cores for the AAI Reporting Server host</t>
  </si>
  <si>
    <t>Minimum total memory on the AAI Platform Server host</t>
  </si>
  <si>
    <t>Platform file system storage</t>
  </si>
  <si>
    <t>Minimum memory allocated to the AAI Platform Server process (-Xmx)</t>
  </si>
  <si>
    <t>Minimum total memory on the AAI Connector Server host</t>
  </si>
  <si>
    <t>Minimum total memory on the AAI Reporting Server host</t>
  </si>
  <si>
    <t>Minimum memory allocated to the AAI Reporting Server process (Tomcat)</t>
  </si>
  <si>
    <t>Minimum memory allocated to the AAI Connector Process</t>
  </si>
  <si>
    <t>Minimum CPU cores for the Connector Server host</t>
  </si>
  <si>
    <t>Minimum CPU cores for the AAI Platform Server host</t>
  </si>
  <si>
    <t>Amount of memory necessary to run the operating system and other required software (GB)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</si>
</sst>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(* #,##0_);_(* \(#,##0\);_(* &quot;-&quot;??_);_(@_)"/>
    <numFmt numFmtId="165" formatCode="#,##0.000"/>
    <numFmt numFmtId="166" formatCode="0.000"/>
    <numFmt numFmtId="167" formatCode="_(* #,##0.000_);_(* \(#,##0.000\);_(* &quot;-&quot;??_);_(@_)"/>
    <numFmt numFmtId="168" formatCode="0&quot; GB&quot;"/>
  </numFmts>
  <fonts count="1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111111"/>
      <name val="Arial"/>
      <family val="2"/>
    </font>
    <font>
      <b/>
      <sz val="10"/>
      <color rgb="FF11111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6"/>
      <color theme="4" tint="-0.249977111117893"/>
      <name val="Calibri"/>
      <family val="2"/>
      <scheme val="minor"/>
    </font>
    <font>
      <sz val="8"/>
      <name val="Calibri"/>
      <family val="2"/>
      <scheme val="minor"/>
    </font>
    <font>
      <b/>
      <sz val="16"/>
      <color rgb="FFCC092F"/>
      <name val="Calibri"/>
      <family val="2"/>
      <scheme val="minor"/>
    </font>
    <font>
      <b/>
      <sz val="12"/>
      <color rgb="FFCC092F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111111"/>
      <name val="Calibri"/>
      <family val="2"/>
      <scheme val="minor"/>
    </font>
    <font>
      <b/>
      <sz val="12"/>
      <name val="Calibri"/>
      <family val="2"/>
      <scheme val="minor"/>
    </font>
    <font>
      <strike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6"/>
      <color rgb="FF262626"/>
      <name val="Helvetica Neue"/>
      <family val="2"/>
    </font>
    <font>
      <b/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E69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9">
    <xf numFmtId="0" fontId="0" fillId="0" borderId="0"/>
    <xf numFmtId="43" fontId="4" fillId="0" borderId="0" applyFont="0" applyFill="0" applyBorder="0" applyAlignment="0" applyProtection="0"/>
    <xf numFmtId="0" fontId="5" fillId="0" borderId="0"/>
    <xf numFmtId="43" fontId="5" fillId="0" borderId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9" fontId="4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86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 wrapText="1" indent="1"/>
    </xf>
    <xf numFmtId="0" fontId="3" fillId="0" borderId="0" xfId="0" applyFont="1"/>
    <xf numFmtId="3" fontId="0" fillId="0" borderId="0" xfId="0" applyNumberFormat="1"/>
    <xf numFmtId="3" fontId="0" fillId="0" borderId="0" xfId="0" applyNumberFormat="1" applyProtection="1">
      <protection locked="0"/>
    </xf>
    <xf numFmtId="0" fontId="0" fillId="0" borderId="0" xfId="0" applyAlignment="1">
      <alignment horizontal="right"/>
    </xf>
    <xf numFmtId="164" fontId="0" fillId="3" borderId="1" xfId="1" applyNumberFormat="1" applyFont="1" applyFill="1" applyBorder="1" applyAlignment="1" applyProtection="1">
      <alignment horizontal="right"/>
      <protection locked="0"/>
    </xf>
    <xf numFmtId="9" fontId="0" fillId="3" borderId="1" xfId="28" applyFont="1" applyFill="1" applyBorder="1" applyAlignment="1" applyProtection="1">
      <alignment horizontal="right"/>
      <protection locked="0"/>
    </xf>
    <xf numFmtId="164" fontId="0" fillId="0" borderId="0" xfId="1" applyNumberFormat="1" applyFont="1"/>
    <xf numFmtId="164" fontId="0" fillId="4" borderId="1" xfId="1" applyNumberFormat="1" applyFont="1" applyFill="1" applyBorder="1" applyAlignment="1" applyProtection="1">
      <alignment horizontal="right"/>
      <protection locked="0"/>
    </xf>
    <xf numFmtId="9" fontId="0" fillId="0" borderId="0" xfId="28" applyFont="1"/>
    <xf numFmtId="164" fontId="0" fillId="0" borderId="0" xfId="1" applyNumberFormat="1" applyFont="1" applyFill="1"/>
    <xf numFmtId="43" fontId="0" fillId="0" borderId="0" xfId="0" applyNumberFormat="1"/>
    <xf numFmtId="164" fontId="0" fillId="0" borderId="0" xfId="0" applyNumberFormat="1"/>
    <xf numFmtId="10" fontId="0" fillId="0" borderId="0" xfId="28" applyNumberFormat="1" applyFont="1"/>
    <xf numFmtId="0" fontId="14" fillId="0" borderId="0" xfId="0" applyFont="1"/>
    <xf numFmtId="9" fontId="0" fillId="4" borderId="1" xfId="28" applyFont="1" applyFill="1" applyBorder="1" applyAlignment="1" applyProtection="1">
      <alignment horizontal="right"/>
      <protection locked="0"/>
    </xf>
    <xf numFmtId="1" fontId="0" fillId="0" borderId="0" xfId="0" applyNumberFormat="1"/>
    <xf numFmtId="165" fontId="0" fillId="0" borderId="0" xfId="0" applyNumberFormat="1" applyProtection="1">
      <protection locked="0"/>
    </xf>
    <xf numFmtId="43" fontId="1" fillId="0" borderId="0" xfId="0" applyNumberFormat="1" applyFont="1" applyAlignment="1">
      <alignment horizontal="right"/>
    </xf>
    <xf numFmtId="0" fontId="17" fillId="0" borderId="0" xfId="0" applyFont="1"/>
    <xf numFmtId="0" fontId="13" fillId="0" borderId="0" xfId="0" applyFont="1" applyAlignment="1">
      <alignment vertical="center" wrapText="1"/>
    </xf>
    <xf numFmtId="0" fontId="18" fillId="0" borderId="0" xfId="0" applyFont="1"/>
    <xf numFmtId="0" fontId="1" fillId="0" borderId="0" xfId="0" applyFont="1" applyProtection="1">
      <protection hidden="1"/>
    </xf>
    <xf numFmtId="168" fontId="4" fillId="3" borderId="1" xfId="1" applyNumberFormat="1" applyFont="1" applyFill="1" applyBorder="1" applyAlignment="1" applyProtection="1">
      <alignment horizontal="right"/>
      <protection locked="0"/>
    </xf>
    <xf numFmtId="168" fontId="4" fillId="3" borderId="1" xfId="1" applyNumberFormat="1" applyFont="1" applyFill="1" applyBorder="1" applyAlignment="1" applyProtection="1">
      <protection locked="0"/>
    </xf>
    <xf numFmtId="3" fontId="0" fillId="0" borderId="0" xfId="0" applyNumberFormat="1" applyAlignment="1">
      <alignment horizontal="right"/>
    </xf>
    <xf numFmtId="0" fontId="12" fillId="0" borderId="0" xfId="0" applyFont="1" applyAlignment="1">
      <alignment horizontal="right"/>
    </xf>
    <xf numFmtId="3" fontId="0" fillId="0" borderId="0" xfId="0" applyNumberFormat="1" applyProtection="1">
      <protection hidden="1"/>
    </xf>
    <xf numFmtId="0" fontId="0" fillId="0" borderId="0" xfId="0" applyProtection="1">
      <protection hidden="1"/>
    </xf>
    <xf numFmtId="9" fontId="0" fillId="3" borderId="1" xfId="28" applyFont="1" applyFill="1" applyBorder="1" applyAlignment="1" applyProtection="1">
      <alignment horizontal="right"/>
      <protection hidden="1"/>
    </xf>
    <xf numFmtId="3" fontId="0" fillId="0" borderId="0" xfId="0" applyNumberFormat="1" applyAlignment="1" applyProtection="1">
      <alignment horizontal="right"/>
      <protection hidden="1"/>
    </xf>
    <xf numFmtId="0" fontId="0" fillId="0" borderId="0" xfId="0" applyAlignment="1" applyProtection="1">
      <alignment horizontal="left"/>
      <protection hidden="1"/>
    </xf>
    <xf numFmtId="0" fontId="0" fillId="0" borderId="0" xfId="0" applyAlignment="1" applyProtection="1">
      <alignment horizontal="right"/>
      <protection hidden="1"/>
    </xf>
    <xf numFmtId="164" fontId="0" fillId="0" borderId="0" xfId="1" applyNumberFormat="1" applyFont="1" applyFill="1" applyProtection="1">
      <protection hidden="1"/>
    </xf>
    <xf numFmtId="167" fontId="0" fillId="0" borderId="0" xfId="1" applyNumberFormat="1" applyFont="1" applyFill="1" applyProtection="1">
      <protection hidden="1"/>
    </xf>
    <xf numFmtId="0" fontId="14" fillId="0" borderId="0" xfId="0" applyFont="1" applyProtection="1">
      <protection hidden="1"/>
    </xf>
    <xf numFmtId="0" fontId="13" fillId="0" borderId="0" xfId="0" applyFont="1" applyAlignment="1" applyProtection="1">
      <alignment vertical="center" wrapText="1"/>
      <protection hidden="1"/>
    </xf>
    <xf numFmtId="165" fontId="0" fillId="0" borderId="0" xfId="0" applyNumberFormat="1" applyProtection="1">
      <protection hidden="1"/>
    </xf>
    <xf numFmtId="0" fontId="2" fillId="0" borderId="0" xfId="0" applyFont="1" applyAlignment="1" applyProtection="1">
      <alignment horizontal="left" vertical="center" wrapText="1" indent="1"/>
      <protection hidden="1"/>
    </xf>
    <xf numFmtId="167" fontId="0" fillId="0" borderId="0" xfId="0" applyNumberFormat="1" applyProtection="1">
      <protection hidden="1"/>
    </xf>
    <xf numFmtId="43" fontId="0" fillId="0" borderId="0" xfId="0" applyNumberFormat="1" applyProtection="1">
      <protection hidden="1"/>
    </xf>
    <xf numFmtId="43" fontId="1" fillId="0" borderId="0" xfId="0" applyNumberFormat="1" applyFont="1" applyAlignment="1" applyProtection="1">
      <alignment horizontal="right"/>
      <protection hidden="1"/>
    </xf>
    <xf numFmtId="164" fontId="0" fillId="0" borderId="0" xfId="0" applyNumberFormat="1" applyProtection="1">
      <protection hidden="1"/>
    </xf>
    <xf numFmtId="0" fontId="3" fillId="0" borderId="0" xfId="0" applyFont="1" applyProtection="1">
      <protection hidden="1"/>
    </xf>
    <xf numFmtId="10" fontId="0" fillId="0" borderId="0" xfId="28" applyNumberFormat="1" applyFont="1" applyProtection="1">
      <protection hidden="1"/>
    </xf>
    <xf numFmtId="9" fontId="0" fillId="0" borderId="0" xfId="28" applyFont="1" applyProtection="1">
      <protection hidden="1"/>
    </xf>
    <xf numFmtId="164" fontId="0" fillId="0" borderId="0" xfId="1" applyNumberFormat="1" applyFont="1" applyProtection="1">
      <protection hidden="1"/>
    </xf>
    <xf numFmtId="166" fontId="0" fillId="0" borderId="0" xfId="0" applyNumberFormat="1" applyProtection="1">
      <protection hidden="1"/>
    </xf>
    <xf numFmtId="0" fontId="17" fillId="0" borderId="0" xfId="0" applyFont="1" applyProtection="1">
      <protection hidden="1"/>
    </xf>
    <xf numFmtId="168" fontId="0" fillId="3" borderId="1" xfId="0" applyNumberFormat="1" applyFill="1" applyBorder="1" applyProtection="1">
      <protection locked="0"/>
    </xf>
    <xf numFmtId="168" fontId="4" fillId="0" borderId="1" xfId="1" applyNumberFormat="1" applyFont="1" applyFill="1" applyBorder="1" applyAlignment="1" applyProtection="1">
      <alignment horizontal="right"/>
    </xf>
    <xf numFmtId="168" fontId="0" fillId="0" borderId="1" xfId="1" applyNumberFormat="1" applyFont="1" applyBorder="1" applyAlignment="1" applyProtection="1">
      <alignment horizontal="right"/>
    </xf>
    <xf numFmtId="168" fontId="0" fillId="0" borderId="1" xfId="1" applyNumberFormat="1" applyFont="1" applyFill="1" applyBorder="1" applyAlignment="1" applyProtection="1">
      <alignment horizontal="right"/>
    </xf>
    <xf numFmtId="164" fontId="0" fillId="0" borderId="1" xfId="1" applyNumberFormat="1" applyFont="1" applyBorder="1" applyAlignment="1" applyProtection="1">
      <alignment horizontal="right"/>
    </xf>
    <xf numFmtId="164" fontId="0" fillId="0" borderId="1" xfId="1" applyNumberFormat="1" applyFont="1" applyFill="1" applyBorder="1" applyAlignment="1" applyProtection="1">
      <alignment horizontal="right"/>
    </xf>
    <xf numFmtId="49" fontId="10" fillId="0" borderId="0" xfId="0" applyNumberFormat="1" applyFont="1" applyAlignment="1" applyProtection="1">
      <alignment shrinkToFit="1"/>
    </xf>
    <xf numFmtId="49" fontId="8" fillId="0" borderId="0" xfId="0" applyNumberFormat="1" applyFont="1" applyAlignment="1" applyProtection="1">
      <alignment shrinkToFit="1"/>
    </xf>
    <xf numFmtId="49" fontId="0" fillId="0" borderId="0" xfId="0" applyNumberFormat="1" applyAlignment="1" applyProtection="1">
      <alignment horizontal="right" shrinkToFit="1"/>
    </xf>
    <xf numFmtId="49" fontId="0" fillId="0" borderId="0" xfId="0" applyNumberFormat="1" applyAlignment="1" applyProtection="1">
      <alignment shrinkToFit="1"/>
    </xf>
    <xf numFmtId="0" fontId="0" fillId="0" borderId="0" xfId="0" applyProtection="1"/>
    <xf numFmtId="0" fontId="0" fillId="0" borderId="0" xfId="0" applyAlignment="1" applyProtection="1">
      <alignment horizontal="right"/>
    </xf>
    <xf numFmtId="0" fontId="1" fillId="2" borderId="1" xfId="0" applyFont="1" applyFill="1" applyBorder="1" applyAlignment="1" applyProtection="1">
      <alignment horizontal="right"/>
    </xf>
    <xf numFmtId="0" fontId="1" fillId="2" borderId="1" xfId="0" applyFont="1" applyFill="1" applyBorder="1" applyAlignment="1" applyProtection="1">
      <alignment horizontal="center"/>
    </xf>
    <xf numFmtId="0" fontId="1" fillId="0" borderId="0" xfId="0" applyFont="1" applyProtection="1"/>
    <xf numFmtId="164" fontId="12" fillId="0" borderId="1" xfId="0" applyNumberFormat="1" applyFont="1" applyBorder="1" applyAlignment="1" applyProtection="1">
      <alignment horizontal="right"/>
    </xf>
    <xf numFmtId="9" fontId="0" fillId="0" borderId="1" xfId="28" applyFont="1" applyBorder="1" applyAlignment="1" applyProtection="1">
      <alignment horizontal="right"/>
    </xf>
    <xf numFmtId="9" fontId="0" fillId="0" borderId="1" xfId="28" applyFont="1" applyFill="1" applyBorder="1" applyAlignment="1" applyProtection="1">
      <alignment horizontal="right"/>
    </xf>
    <xf numFmtId="164" fontId="0" fillId="0" borderId="0" xfId="1" applyNumberFormat="1" applyFont="1" applyBorder="1" applyAlignment="1" applyProtection="1">
      <alignment horizontal="right"/>
    </xf>
    <xf numFmtId="164" fontId="0" fillId="0" borderId="0" xfId="1" applyNumberFormat="1" applyFont="1" applyFill="1" applyBorder="1" applyAlignment="1" applyProtection="1">
      <alignment horizontal="right"/>
    </xf>
    <xf numFmtId="0" fontId="11" fillId="0" borderId="0" xfId="0" applyFont="1" applyProtection="1"/>
    <xf numFmtId="0" fontId="8" fillId="0" borderId="0" xfId="0" applyFont="1" applyProtection="1"/>
    <xf numFmtId="43" fontId="0" fillId="0" borderId="0" xfId="0" applyNumberFormat="1" applyAlignment="1" applyProtection="1">
      <alignment horizontal="left"/>
    </xf>
    <xf numFmtId="168" fontId="0" fillId="0" borderId="1" xfId="0" applyNumberFormat="1" applyBorder="1" applyAlignment="1" applyProtection="1">
      <alignment horizontal="right"/>
    </xf>
    <xf numFmtId="43" fontId="0" fillId="0" borderId="0" xfId="0" applyNumberFormat="1" applyProtection="1"/>
    <xf numFmtId="0" fontId="3" fillId="0" borderId="0" xfId="0" applyFont="1" applyProtection="1"/>
    <xf numFmtId="0" fontId="1" fillId="0" borderId="0" xfId="0" applyFont="1" applyAlignment="1" applyProtection="1">
      <alignment horizontal="center"/>
    </xf>
    <xf numFmtId="9" fontId="0" fillId="0" borderId="0" xfId="0" applyNumberFormat="1" applyProtection="1"/>
    <xf numFmtId="168" fontId="0" fillId="0" borderId="1" xfId="0" applyNumberFormat="1" applyBorder="1" applyProtection="1"/>
    <xf numFmtId="0" fontId="13" fillId="0" borderId="0" xfId="0" applyFont="1" applyAlignment="1" applyProtection="1">
      <alignment vertical="center" wrapText="1"/>
    </xf>
    <xf numFmtId="0" fontId="2" fillId="0" borderId="0" xfId="0" applyFont="1" applyAlignment="1" applyProtection="1">
      <alignment horizontal="left" vertical="center" wrapText="1" indent="1"/>
    </xf>
    <xf numFmtId="0" fontId="13" fillId="0" borderId="0" xfId="0" applyFont="1" applyProtection="1"/>
    <xf numFmtId="3" fontId="0" fillId="0" borderId="0" xfId="0" applyNumberFormat="1" applyProtection="1"/>
    <xf numFmtId="0" fontId="1" fillId="0" borderId="0" xfId="0" applyFont="1" applyAlignment="1" applyProtection="1">
      <alignment horizontal="right"/>
    </xf>
    <xf numFmtId="0" fontId="15" fillId="0" borderId="0" xfId="0" applyFont="1" applyAlignment="1" applyProtection="1">
      <alignment horizontal="right"/>
    </xf>
  </cellXfs>
  <cellStyles count="39">
    <cellStyle name="Comma" xfId="1" builtinId="3"/>
    <cellStyle name="Comma 2" xfId="3" xr:uid="{00000000-0005-0000-0000-000001000000}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Normal" xfId="0" builtinId="0"/>
    <cellStyle name="Normal 2" xfId="2" xr:uid="{00000000-0005-0000-0000-000025000000}"/>
    <cellStyle name="Percent" xfId="28" builtinId="5"/>
  </cellStyles>
  <dxfs count="0"/>
  <tableStyles count="0" defaultTableStyle="TableStyleMedium2" defaultPivotStyle="PivotStyleLight16"/>
  <colors>
    <mruColors>
      <color rgb="FFFFE699"/>
      <color rgb="FFCC092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9"/>
  <sheetViews>
    <sheetView tabSelected="1" zoomScale="130" zoomScaleNormal="130" zoomScalePageLayoutView="150" workbookViewId="0">
      <selection activeCell="C7" sqref="C7"/>
    </sheetView>
  </sheetViews>
  <sheetFormatPr baseColWidth="10" defaultColWidth="11.5" defaultRowHeight="14" customHeight="1" x14ac:dyDescent="0.2"/>
  <cols>
    <col min="1" max="1" width="84.1640625" style="61" customWidth="1"/>
    <col min="2" max="2" width="17.5" style="61" customWidth="1"/>
    <col min="3" max="3" width="14.6640625" style="62" customWidth="1"/>
    <col min="4" max="4" width="13" style="62" customWidth="1"/>
    <col min="5" max="5" width="13.33203125" style="62" customWidth="1"/>
    <col min="6" max="6" width="12.83203125" style="62" customWidth="1"/>
    <col min="7" max="7" width="13" style="62" customWidth="1"/>
    <col min="8" max="8" width="13.33203125" style="61" customWidth="1"/>
    <col min="9" max="9" width="11.5" style="61"/>
    <col min="10" max="10" width="13.6640625" style="61" bestFit="1" customWidth="1"/>
    <col min="11" max="16384" width="11.5" style="61"/>
  </cols>
  <sheetData>
    <row r="1" spans="1:10" s="60" customFormat="1" ht="20" customHeight="1" x14ac:dyDescent="0.25">
      <c r="A1" s="57" t="s">
        <v>34</v>
      </c>
      <c r="B1" s="58"/>
      <c r="C1" s="59"/>
      <c r="D1" s="59"/>
      <c r="E1" s="59"/>
      <c r="F1" s="59"/>
      <c r="G1" s="59"/>
    </row>
    <row r="2" spans="1:10" ht="14" customHeight="1" x14ac:dyDescent="0.2">
      <c r="B2" s="62"/>
      <c r="C2" s="63" t="s">
        <v>13</v>
      </c>
      <c r="D2" s="64" t="s">
        <v>14</v>
      </c>
      <c r="E2" s="64" t="s">
        <v>15</v>
      </c>
      <c r="F2" s="64" t="s">
        <v>18</v>
      </c>
      <c r="G2" s="64" t="s">
        <v>16</v>
      </c>
      <c r="H2" s="64" t="s">
        <v>17</v>
      </c>
    </row>
    <row r="3" spans="1:10" ht="14" customHeight="1" x14ac:dyDescent="0.2">
      <c r="A3" s="65" t="s">
        <v>38</v>
      </c>
      <c r="B3" s="65" t="s">
        <v>19</v>
      </c>
      <c r="C3" s="10">
        <v>100000</v>
      </c>
      <c r="D3" s="66">
        <f>'Y1'!B3</f>
        <v>101000</v>
      </c>
      <c r="E3" s="66">
        <f>'Y2'!B3</f>
        <v>102010</v>
      </c>
      <c r="F3" s="55">
        <f>'Y3'!B3</f>
        <v>103030.1</v>
      </c>
      <c r="G3" s="56">
        <f>'Y4'!B3</f>
        <v>104060.40100000001</v>
      </c>
      <c r="H3" s="56">
        <f>'Y5'!B3</f>
        <v>105101.00501000001</v>
      </c>
    </row>
    <row r="4" spans="1:10" ht="14" customHeight="1" x14ac:dyDescent="0.2">
      <c r="A4" s="65" t="s">
        <v>37</v>
      </c>
      <c r="B4" s="65" t="s">
        <v>19</v>
      </c>
      <c r="C4" s="10">
        <v>0</v>
      </c>
      <c r="D4" s="55">
        <f>'Y1'!$B$4</f>
        <v>0</v>
      </c>
      <c r="E4" s="55">
        <f>'Y2'!$B$4</f>
        <v>0</v>
      </c>
      <c r="F4" s="55">
        <f>'Y3'!$B$4</f>
        <v>0</v>
      </c>
      <c r="G4" s="55">
        <f>'Y4'!$B$4</f>
        <v>0</v>
      </c>
      <c r="H4" s="55">
        <f>'Y5'!$B$4</f>
        <v>0</v>
      </c>
    </row>
    <row r="5" spans="1:10" ht="14" customHeight="1" x14ac:dyDescent="0.2">
      <c r="A5" s="65" t="s">
        <v>35</v>
      </c>
      <c r="B5" s="65" t="s">
        <v>19</v>
      </c>
      <c r="C5" s="17">
        <v>0.01</v>
      </c>
      <c r="D5" s="67">
        <f>C5</f>
        <v>0.01</v>
      </c>
      <c r="E5" s="67">
        <f>D5</f>
        <v>0.01</v>
      </c>
      <c r="F5" s="67">
        <f>E5</f>
        <v>0.01</v>
      </c>
      <c r="G5" s="67">
        <f>F5</f>
        <v>0.01</v>
      </c>
      <c r="H5" s="67">
        <f>G5</f>
        <v>0.01</v>
      </c>
    </row>
    <row r="6" spans="1:10" ht="14" customHeight="1" x14ac:dyDescent="0.2">
      <c r="A6" s="65" t="s">
        <v>46</v>
      </c>
      <c r="B6" s="65" t="s">
        <v>19</v>
      </c>
      <c r="C6" s="7">
        <v>1</v>
      </c>
      <c r="D6" s="55">
        <f>'Y1'!B5</f>
        <v>1</v>
      </c>
      <c r="E6" s="55">
        <f>'Y2'!B5</f>
        <v>1</v>
      </c>
      <c r="F6" s="55">
        <f>'Y3'!B5</f>
        <v>1</v>
      </c>
      <c r="G6" s="56">
        <f>'Y4'!B5</f>
        <v>1</v>
      </c>
      <c r="H6" s="56">
        <f>'Y5'!B5</f>
        <v>1</v>
      </c>
    </row>
    <row r="7" spans="1:10" ht="14" customHeight="1" x14ac:dyDescent="0.2">
      <c r="A7" s="65" t="s">
        <v>39</v>
      </c>
      <c r="B7" s="65" t="s">
        <v>19</v>
      </c>
      <c r="C7" s="7">
        <v>100000</v>
      </c>
      <c r="D7" s="55">
        <f>C7*(1+D8)</f>
        <v>101000</v>
      </c>
      <c r="E7" s="55">
        <f t="shared" ref="E7:H7" si="0">D7*(1+E8)</f>
        <v>102010</v>
      </c>
      <c r="F7" s="55">
        <f t="shared" si="0"/>
        <v>103030.1</v>
      </c>
      <c r="G7" s="55">
        <f t="shared" si="0"/>
        <v>104060.40100000001</v>
      </c>
      <c r="H7" s="55">
        <f t="shared" si="0"/>
        <v>105101.00501000001</v>
      </c>
    </row>
    <row r="8" spans="1:10" ht="14" customHeight="1" x14ac:dyDescent="0.2">
      <c r="A8" s="65" t="s">
        <v>40</v>
      </c>
      <c r="B8" s="65" t="s">
        <v>19</v>
      </c>
      <c r="C8" s="8">
        <v>0.01</v>
      </c>
      <c r="D8" s="67">
        <f>C8</f>
        <v>0.01</v>
      </c>
      <c r="E8" s="67">
        <f>D8</f>
        <v>0.01</v>
      </c>
      <c r="F8" s="67">
        <f>E8</f>
        <v>0.01</v>
      </c>
      <c r="G8" s="68">
        <f>F8</f>
        <v>0.01</v>
      </c>
      <c r="H8" s="68">
        <f>G8</f>
        <v>0.01</v>
      </c>
    </row>
    <row r="9" spans="1:10" ht="14" customHeight="1" x14ac:dyDescent="0.2">
      <c r="A9" s="65" t="s">
        <v>41</v>
      </c>
      <c r="B9" s="65" t="s">
        <v>19</v>
      </c>
      <c r="C9" s="7">
        <v>365</v>
      </c>
      <c r="D9" s="55">
        <f>C9</f>
        <v>365</v>
      </c>
      <c r="E9" s="55">
        <f t="shared" ref="E9:H9" si="1">D9</f>
        <v>365</v>
      </c>
      <c r="F9" s="55">
        <f t="shared" si="1"/>
        <v>365</v>
      </c>
      <c r="G9" s="55">
        <f t="shared" si="1"/>
        <v>365</v>
      </c>
      <c r="H9" s="55">
        <f t="shared" si="1"/>
        <v>365</v>
      </c>
    </row>
    <row r="10" spans="1:10" ht="14" customHeight="1" x14ac:dyDescent="0.2">
      <c r="A10" s="65" t="s">
        <v>43</v>
      </c>
      <c r="B10" s="65" t="s">
        <v>19</v>
      </c>
      <c r="C10" s="7">
        <v>48</v>
      </c>
      <c r="D10" s="55">
        <f>'Y1'!B7</f>
        <v>48</v>
      </c>
      <c r="E10" s="55">
        <f>'Y2'!B7</f>
        <v>48</v>
      </c>
      <c r="F10" s="55">
        <f>'Y3'!B7</f>
        <v>48</v>
      </c>
      <c r="G10" s="55">
        <f>'Y4'!B7</f>
        <v>48</v>
      </c>
      <c r="H10" s="55">
        <f>'Y5'!B7</f>
        <v>48</v>
      </c>
    </row>
    <row r="11" spans="1:10" ht="14" customHeight="1" x14ac:dyDescent="0.2">
      <c r="A11" s="65" t="s">
        <v>55</v>
      </c>
      <c r="B11" s="65" t="s">
        <v>19</v>
      </c>
      <c r="C11" s="7">
        <v>48</v>
      </c>
      <c r="D11" s="55">
        <f>'Y1'!B8</f>
        <v>48</v>
      </c>
      <c r="E11" s="55">
        <f>'Y2'!B8</f>
        <v>48</v>
      </c>
      <c r="F11" s="55">
        <f>'Y3'!B8</f>
        <v>48</v>
      </c>
      <c r="G11" s="55">
        <f>'Y4'!B8</f>
        <v>48</v>
      </c>
      <c r="H11" s="55">
        <f>'Y5'!B8</f>
        <v>48</v>
      </c>
    </row>
    <row r="12" spans="1:10" ht="14" customHeight="1" x14ac:dyDescent="0.2">
      <c r="A12" s="65"/>
      <c r="B12" s="65"/>
      <c r="C12" s="69"/>
      <c r="D12" s="69"/>
      <c r="E12" s="69"/>
      <c r="F12" s="69"/>
      <c r="G12" s="70"/>
      <c r="H12" s="70"/>
    </row>
    <row r="13" spans="1:10" ht="14" customHeight="1" x14ac:dyDescent="0.25">
      <c r="A13" s="71" t="s">
        <v>20</v>
      </c>
      <c r="B13" s="72"/>
      <c r="C13" s="63" t="s">
        <v>13</v>
      </c>
      <c r="D13" s="64" t="s">
        <v>14</v>
      </c>
      <c r="E13" s="64" t="s">
        <v>15</v>
      </c>
      <c r="F13" s="64" t="s">
        <v>18</v>
      </c>
      <c r="G13" s="64" t="s">
        <v>16</v>
      </c>
      <c r="H13" s="64" t="s">
        <v>17</v>
      </c>
      <c r="J13" s="73"/>
    </row>
    <row r="14" spans="1:10" ht="14" customHeight="1" x14ac:dyDescent="0.2">
      <c r="A14" s="65" t="s">
        <v>70</v>
      </c>
      <c r="B14" s="65" t="s">
        <v>19</v>
      </c>
      <c r="C14" s="51">
        <v>6</v>
      </c>
      <c r="D14" s="74">
        <f>C14</f>
        <v>6</v>
      </c>
      <c r="E14" s="74">
        <f>D14</f>
        <v>6</v>
      </c>
      <c r="F14" s="74">
        <f>E14</f>
        <v>6</v>
      </c>
      <c r="G14" s="74">
        <f>F14</f>
        <v>6</v>
      </c>
      <c r="H14" s="74">
        <f>G14</f>
        <v>6</v>
      </c>
      <c r="J14" s="73"/>
    </row>
    <row r="15" spans="1:10" ht="14" customHeight="1" x14ac:dyDescent="0.2">
      <c r="A15" s="65" t="s">
        <v>61</v>
      </c>
      <c r="B15" s="65"/>
      <c r="C15" s="53">
        <f>Initial!L18</f>
        <v>33</v>
      </c>
      <c r="D15" s="53">
        <f>'Y1'!L20</f>
        <v>34</v>
      </c>
      <c r="E15" s="53">
        <f>'Y2'!L20</f>
        <v>34</v>
      </c>
      <c r="F15" s="53">
        <f>'Y3'!L20</f>
        <v>34</v>
      </c>
      <c r="G15" s="54">
        <f>'Y4'!L20</f>
        <v>34</v>
      </c>
      <c r="H15" s="54">
        <f>'Y5'!L20</f>
        <v>34</v>
      </c>
    </row>
    <row r="16" spans="1:10" ht="14" customHeight="1" x14ac:dyDescent="0.2">
      <c r="A16" s="65" t="s">
        <v>63</v>
      </c>
      <c r="B16" s="65"/>
      <c r="C16" s="53">
        <f>Initial!L18-MemoryGBForOS</f>
        <v>27</v>
      </c>
      <c r="D16" s="53">
        <f>'Y1'!L20-MemoryGBForOS</f>
        <v>28</v>
      </c>
      <c r="E16" s="53">
        <f>'Y2'!L20-MemoryGBForOS</f>
        <v>28</v>
      </c>
      <c r="F16" s="53">
        <f>'Y3'!L20-MemoryGBForOS</f>
        <v>28</v>
      </c>
      <c r="G16" s="54">
        <f>'Y4'!L20-MemoryGBForOS</f>
        <v>28</v>
      </c>
      <c r="H16" s="54">
        <f>'Y5'!L20-MemoryGBForOS</f>
        <v>28</v>
      </c>
    </row>
    <row r="17" spans="1:11" ht="14" customHeight="1" x14ac:dyDescent="0.2">
      <c r="A17" s="65" t="s">
        <v>69</v>
      </c>
      <c r="B17" s="65"/>
      <c r="C17" s="55">
        <f>Initial!D10</f>
        <v>5</v>
      </c>
      <c r="D17" s="55">
        <f>'Y1'!D10</f>
        <v>5</v>
      </c>
      <c r="E17" s="55">
        <f>'Y2'!D10</f>
        <v>5</v>
      </c>
      <c r="F17" s="55">
        <f>'Y3'!D10</f>
        <v>5</v>
      </c>
      <c r="G17" s="56">
        <f>'Y4'!D10</f>
        <v>5</v>
      </c>
      <c r="H17" s="56">
        <f>'Y5'!D10</f>
        <v>5</v>
      </c>
    </row>
    <row r="18" spans="1:11" ht="14" customHeight="1" x14ac:dyDescent="0.2">
      <c r="A18" s="65" t="s">
        <v>59</v>
      </c>
      <c r="B18" s="65"/>
      <c r="C18" s="53">
        <f>Initial!D11</f>
        <v>100</v>
      </c>
      <c r="D18" s="53">
        <f>'Y1'!D11</f>
        <v>100</v>
      </c>
      <c r="E18" s="53">
        <f>'Y2'!D11</f>
        <v>100</v>
      </c>
      <c r="F18" s="53">
        <f>'Y3'!D11</f>
        <v>100</v>
      </c>
      <c r="G18" s="53">
        <f>'Y4'!D11</f>
        <v>100</v>
      </c>
      <c r="H18" s="53">
        <f>'Y5'!D11</f>
        <v>100</v>
      </c>
    </row>
    <row r="19" spans="1:11" ht="14" customHeight="1" x14ac:dyDescent="0.2">
      <c r="A19" s="65"/>
      <c r="B19" s="65"/>
      <c r="H19" s="62"/>
      <c r="J19" s="75"/>
    </row>
    <row r="20" spans="1:11" ht="14" customHeight="1" x14ac:dyDescent="0.2">
      <c r="A20" s="71" t="s">
        <v>36</v>
      </c>
      <c r="B20" s="76"/>
      <c r="C20" s="63" t="s">
        <v>13</v>
      </c>
      <c r="D20" s="64" t="s">
        <v>14</v>
      </c>
      <c r="E20" s="64" t="s">
        <v>15</v>
      </c>
      <c r="F20" s="64" t="s">
        <v>18</v>
      </c>
      <c r="G20" s="64" t="s">
        <v>16</v>
      </c>
      <c r="H20" s="64" t="s">
        <v>17</v>
      </c>
      <c r="J20" s="77"/>
      <c r="K20" s="78"/>
    </row>
    <row r="21" spans="1:11" ht="14" customHeight="1" x14ac:dyDescent="0.2">
      <c r="A21" s="65" t="s">
        <v>70</v>
      </c>
      <c r="B21" s="65" t="s">
        <v>19</v>
      </c>
      <c r="C21" s="26">
        <v>6</v>
      </c>
      <c r="D21" s="79">
        <f>C21</f>
        <v>6</v>
      </c>
      <c r="E21" s="79">
        <f>D21</f>
        <v>6</v>
      </c>
      <c r="F21" s="79">
        <f>E21</f>
        <v>6</v>
      </c>
      <c r="G21" s="79">
        <f>F21</f>
        <v>6</v>
      </c>
      <c r="H21" s="79">
        <f>G21</f>
        <v>6</v>
      </c>
      <c r="J21" s="77"/>
      <c r="K21" s="78"/>
    </row>
    <row r="22" spans="1:11" ht="14" customHeight="1" x14ac:dyDescent="0.2">
      <c r="A22" s="65" t="s">
        <v>64</v>
      </c>
      <c r="B22" s="65"/>
      <c r="C22" s="52">
        <f>Initial!D13+C21</f>
        <v>22</v>
      </c>
      <c r="D22" s="74">
        <f>('Y1'!D13+D21)</f>
        <v>22</v>
      </c>
      <c r="E22" s="74">
        <f>('Y2'!D13+E21)</f>
        <v>22</v>
      </c>
      <c r="F22" s="74">
        <f>('Y3'!D13+F21)</f>
        <v>22</v>
      </c>
      <c r="G22" s="74">
        <f>('Y4'!D13+G21)</f>
        <v>22</v>
      </c>
      <c r="H22" s="74">
        <f>('Y5'!D13+H21)</f>
        <v>22</v>
      </c>
      <c r="J22" s="77"/>
      <c r="K22" s="78"/>
    </row>
    <row r="23" spans="1:11" ht="14" customHeight="1" x14ac:dyDescent="0.2">
      <c r="A23" s="80" t="s">
        <v>67</v>
      </c>
      <c r="B23" s="81"/>
      <c r="C23" s="53">
        <f>(Initial!D13)</f>
        <v>16</v>
      </c>
      <c r="D23" s="53">
        <f>Initial!D13</f>
        <v>16</v>
      </c>
      <c r="E23" s="53">
        <f>Initial!D13</f>
        <v>16</v>
      </c>
      <c r="F23" s="53">
        <f>Initial!D13</f>
        <v>16</v>
      </c>
      <c r="G23" s="54">
        <f>Initial!D13</f>
        <v>16</v>
      </c>
      <c r="H23" s="54">
        <f>Initial!D13</f>
        <v>16</v>
      </c>
    </row>
    <row r="24" spans="1:11" ht="14" customHeight="1" x14ac:dyDescent="0.2">
      <c r="A24" s="80" t="s">
        <v>68</v>
      </c>
      <c r="B24" s="81"/>
      <c r="C24" s="55">
        <f>Initial!$D$14</f>
        <v>4</v>
      </c>
      <c r="D24" s="55">
        <f>Initial!$D$14</f>
        <v>4</v>
      </c>
      <c r="E24" s="55">
        <f>Initial!$D$14</f>
        <v>4</v>
      </c>
      <c r="F24" s="55">
        <f>Initial!$D$14</f>
        <v>4</v>
      </c>
      <c r="G24" s="55">
        <f>Initial!$D$14</f>
        <v>4</v>
      </c>
      <c r="H24" s="55">
        <f>Initial!$D$14</f>
        <v>4</v>
      </c>
    </row>
    <row r="25" spans="1:11" ht="14" customHeight="1" x14ac:dyDescent="0.2">
      <c r="A25" s="80" t="s">
        <v>59</v>
      </c>
      <c r="B25" s="81"/>
      <c r="C25" s="53">
        <f>Initial!D15</f>
        <v>100</v>
      </c>
      <c r="D25" s="53">
        <f>'Y1'!D15</f>
        <v>100</v>
      </c>
      <c r="E25" s="53">
        <f>'Y2'!D15</f>
        <v>100</v>
      </c>
      <c r="F25" s="53">
        <f>'Y3'!D15</f>
        <v>100</v>
      </c>
      <c r="G25" s="53">
        <f>'Y4'!D15</f>
        <v>100</v>
      </c>
      <c r="H25" s="53">
        <f>'Y5'!D15</f>
        <v>100</v>
      </c>
    </row>
    <row r="26" spans="1:11" ht="14" customHeight="1" x14ac:dyDescent="0.2">
      <c r="H26" s="62"/>
    </row>
    <row r="27" spans="1:11" ht="14" customHeight="1" x14ac:dyDescent="0.25">
      <c r="A27" s="71" t="s">
        <v>21</v>
      </c>
      <c r="B27" s="72"/>
      <c r="C27" s="63" t="s">
        <v>13</v>
      </c>
      <c r="D27" s="64" t="s">
        <v>14</v>
      </c>
      <c r="E27" s="64" t="s">
        <v>15</v>
      </c>
      <c r="F27" s="64" t="s">
        <v>18</v>
      </c>
      <c r="G27" s="64" t="s">
        <v>16</v>
      </c>
      <c r="H27" s="64" t="s">
        <v>17</v>
      </c>
    </row>
    <row r="28" spans="1:11" ht="14" customHeight="1" x14ac:dyDescent="0.2">
      <c r="A28" s="65" t="s">
        <v>70</v>
      </c>
      <c r="B28" s="65" t="s">
        <v>19</v>
      </c>
      <c r="C28" s="25">
        <v>6</v>
      </c>
      <c r="D28" s="74">
        <f>C28</f>
        <v>6</v>
      </c>
      <c r="E28" s="74">
        <f t="shared" ref="E28:H28" si="2">D28</f>
        <v>6</v>
      </c>
      <c r="F28" s="74">
        <f t="shared" si="2"/>
        <v>6</v>
      </c>
      <c r="G28" s="74">
        <f t="shared" si="2"/>
        <v>6</v>
      </c>
      <c r="H28" s="74">
        <f t="shared" si="2"/>
        <v>6</v>
      </c>
    </row>
    <row r="29" spans="1:11" ht="14" customHeight="1" x14ac:dyDescent="0.2">
      <c r="A29" s="65" t="s">
        <v>65</v>
      </c>
      <c r="B29" s="65"/>
      <c r="C29" s="52">
        <f>(Initial!D19+C28)</f>
        <v>22</v>
      </c>
      <c r="D29" s="52">
        <f>('Y1'!D19+D28)</f>
        <v>22</v>
      </c>
      <c r="E29" s="52">
        <f>('Y2'!D19+E28)</f>
        <v>22</v>
      </c>
      <c r="F29" s="52">
        <f>('Y3'!D19+F28)</f>
        <v>22</v>
      </c>
      <c r="G29" s="52">
        <f>('Y4'!D19+G28)</f>
        <v>22</v>
      </c>
      <c r="H29" s="52">
        <f>'Y5'!D19+H28</f>
        <v>22</v>
      </c>
    </row>
    <row r="30" spans="1:11" ht="14" customHeight="1" x14ac:dyDescent="0.2">
      <c r="A30" s="65" t="s">
        <v>66</v>
      </c>
      <c r="B30" s="65"/>
      <c r="C30" s="53">
        <f>Initial!D19</f>
        <v>16</v>
      </c>
      <c r="D30" s="53">
        <f>'Y1'!D19</f>
        <v>16</v>
      </c>
      <c r="E30" s="53">
        <f>'Y2'!D19</f>
        <v>16</v>
      </c>
      <c r="F30" s="53">
        <f>'Y3'!D19</f>
        <v>16</v>
      </c>
      <c r="G30" s="54">
        <f>'Y4'!D19</f>
        <v>16</v>
      </c>
      <c r="H30" s="54">
        <f>'Y5'!D19</f>
        <v>16</v>
      </c>
    </row>
    <row r="31" spans="1:11" ht="14" customHeight="1" x14ac:dyDescent="0.2">
      <c r="A31" s="65" t="s">
        <v>60</v>
      </c>
      <c r="B31" s="65"/>
      <c r="C31" s="55">
        <f>Initial!D20</f>
        <v>4</v>
      </c>
      <c r="D31" s="55">
        <f>'Y1'!D20</f>
        <v>4</v>
      </c>
      <c r="E31" s="55">
        <f>'Y2'!D20</f>
        <v>4</v>
      </c>
      <c r="F31" s="55">
        <f>'Y3'!D20</f>
        <v>4</v>
      </c>
      <c r="G31" s="56">
        <f>'Y4'!D20</f>
        <v>4</v>
      </c>
      <c r="H31" s="56">
        <f>'Y5'!D20</f>
        <v>4</v>
      </c>
    </row>
    <row r="32" spans="1:11" ht="14" customHeight="1" x14ac:dyDescent="0.2">
      <c r="A32" s="82" t="s">
        <v>59</v>
      </c>
      <c r="B32" s="76"/>
      <c r="C32" s="74">
        <f>(50)</f>
        <v>50</v>
      </c>
      <c r="D32" s="74">
        <f>(50)</f>
        <v>50</v>
      </c>
      <c r="E32" s="74">
        <f>(50)</f>
        <v>50</v>
      </c>
      <c r="F32" s="74">
        <f>(50)</f>
        <v>50</v>
      </c>
      <c r="G32" s="74">
        <f>(50)</f>
        <v>50</v>
      </c>
      <c r="H32" s="74">
        <f>(50)</f>
        <v>50</v>
      </c>
    </row>
    <row r="33" spans="1:8" ht="14" customHeight="1" x14ac:dyDescent="0.2">
      <c r="H33" s="62"/>
    </row>
    <row r="34" spans="1:8" ht="14" customHeight="1" x14ac:dyDescent="0.25">
      <c r="A34" s="71" t="s">
        <v>11</v>
      </c>
      <c r="B34" s="72"/>
      <c r="C34" s="63" t="s">
        <v>13</v>
      </c>
      <c r="D34" s="64" t="s">
        <v>14</v>
      </c>
      <c r="E34" s="64" t="s">
        <v>15</v>
      </c>
      <c r="F34" s="64" t="s">
        <v>18</v>
      </c>
      <c r="G34" s="64" t="s">
        <v>16</v>
      </c>
      <c r="H34" s="64" t="s">
        <v>17</v>
      </c>
    </row>
    <row r="35" spans="1:8" ht="14" customHeight="1" x14ac:dyDescent="0.2">
      <c r="A35" s="65" t="s">
        <v>4</v>
      </c>
      <c r="B35" s="65"/>
      <c r="C35" s="53">
        <f>Initial!D25</f>
        <v>18</v>
      </c>
      <c r="D35" s="53">
        <f>'Y1'!D25</f>
        <v>19</v>
      </c>
      <c r="E35" s="53">
        <f>'Y2'!D25</f>
        <v>19</v>
      </c>
      <c r="F35" s="53">
        <f>'Y3'!D25</f>
        <v>19</v>
      </c>
      <c r="G35" s="54">
        <f>'Y4'!D25</f>
        <v>19</v>
      </c>
      <c r="H35" s="54">
        <f>'Y5'!D25</f>
        <v>19</v>
      </c>
    </row>
    <row r="36" spans="1:8" ht="14" customHeight="1" x14ac:dyDescent="0.2">
      <c r="A36" s="65" t="s">
        <v>5</v>
      </c>
      <c r="B36" s="65"/>
      <c r="C36" s="53">
        <f>Initial!D26</f>
        <v>36</v>
      </c>
      <c r="D36" s="53">
        <f>'Y1'!D26</f>
        <v>37</v>
      </c>
      <c r="E36" s="53">
        <f>'Y2'!D26</f>
        <v>37</v>
      </c>
      <c r="F36" s="53">
        <f>'Y3'!D26</f>
        <v>37</v>
      </c>
      <c r="G36" s="54">
        <f>'Y4'!D26</f>
        <v>38</v>
      </c>
      <c r="H36" s="54">
        <f>'Y5'!D26</f>
        <v>38</v>
      </c>
    </row>
    <row r="37" spans="1:8" ht="14" customHeight="1" x14ac:dyDescent="0.2">
      <c r="A37" s="65" t="s">
        <v>6</v>
      </c>
      <c r="B37" s="65"/>
      <c r="C37" s="53">
        <f>Initial!D27</f>
        <v>5</v>
      </c>
      <c r="D37" s="53">
        <f>'Y1'!D27</f>
        <v>5</v>
      </c>
      <c r="E37" s="53">
        <f>'Y2'!D27</f>
        <v>5</v>
      </c>
      <c r="F37" s="53">
        <f>'Y3'!D27</f>
        <v>5</v>
      </c>
      <c r="G37" s="54">
        <f>'Y4'!D27</f>
        <v>5</v>
      </c>
      <c r="H37" s="54">
        <f>'Y5'!D27</f>
        <v>5</v>
      </c>
    </row>
    <row r="39" spans="1:8" ht="14" customHeight="1" x14ac:dyDescent="0.2">
      <c r="A39" s="71" t="s">
        <v>12</v>
      </c>
      <c r="B39" s="83"/>
      <c r="C39" s="63" t="s">
        <v>13</v>
      </c>
      <c r="D39" s="64" t="s">
        <v>14</v>
      </c>
      <c r="E39" s="64" t="s">
        <v>15</v>
      </c>
      <c r="F39" s="64" t="s">
        <v>18</v>
      </c>
      <c r="G39" s="64" t="s">
        <v>16</v>
      </c>
      <c r="H39" s="64" t="s">
        <v>17</v>
      </c>
    </row>
    <row r="40" spans="1:8" ht="14" customHeight="1" x14ac:dyDescent="0.2">
      <c r="A40" s="65" t="s">
        <v>7</v>
      </c>
      <c r="B40" s="83"/>
      <c r="C40" s="53">
        <f>Initial!D30</f>
        <v>125</v>
      </c>
      <c r="D40" s="53">
        <f>'Y1'!D30</f>
        <v>127</v>
      </c>
      <c r="E40" s="53">
        <f>'Y2'!D30</f>
        <v>128</v>
      </c>
      <c r="F40" s="53">
        <f>'Y3'!D30</f>
        <v>129</v>
      </c>
      <c r="G40" s="53">
        <f>'Y4'!D30</f>
        <v>130</v>
      </c>
      <c r="H40" s="53">
        <f>'Y5'!D30</f>
        <v>132</v>
      </c>
    </row>
    <row r="41" spans="1:8" ht="14" customHeight="1" x14ac:dyDescent="0.2">
      <c r="A41" s="65" t="s">
        <v>8</v>
      </c>
      <c r="B41" s="83"/>
      <c r="C41" s="53">
        <f>Initial!D31</f>
        <v>63</v>
      </c>
      <c r="D41" s="53">
        <f>'Y1'!D31</f>
        <v>64</v>
      </c>
      <c r="E41" s="53">
        <f>'Y2'!D31</f>
        <v>64</v>
      </c>
      <c r="F41" s="53">
        <f>'Y3'!D31</f>
        <v>65</v>
      </c>
      <c r="G41" s="53">
        <f>'Y4'!D31</f>
        <v>65</v>
      </c>
      <c r="H41" s="53">
        <f>'Y5'!D31</f>
        <v>66</v>
      </c>
    </row>
    <row r="43" spans="1:8" s="65" customFormat="1" ht="14" customHeight="1" x14ac:dyDescent="0.2">
      <c r="C43" s="84"/>
      <c r="D43" s="84"/>
      <c r="E43" s="84"/>
      <c r="F43" s="84"/>
      <c r="G43" s="84"/>
    </row>
    <row r="49" spans="4:4" ht="14" customHeight="1" x14ac:dyDescent="0.2">
      <c r="D49" s="85"/>
    </row>
  </sheetData>
  <sheetProtection algorithmName="SHA-512" hashValue="1WyB8+XRQ/ygXiFiurequhVrpTF0iUaBUHEv19Xe+lNIKzFyoOJ40L5v4SSbd0R+lQjxPcGS/PQvEDubWcPR8Q==" saltValue="x6GYhwO6mtOpf4qz95jwWA==" spinCount="100000" sheet="1" scenarios="1" selectLockedCells="1"/>
  <phoneticPr fontId="9" type="noConversion"/>
  <pageMargins left="0.75" right="0.75" top="1" bottom="1" header="0.5" footer="0.5"/>
  <pageSetup orientation="portrait" horizontalDpi="4294967292" verticalDpi="4294967292"/>
  <ignoredErrors>
    <ignoredError sqref="C29:D29 E29:H29 C22" unlockedFormula="1"/>
  </ignoredErrors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38"/>
  <sheetViews>
    <sheetView zoomScaleNormal="100" workbookViewId="0">
      <selection activeCell="D11" sqref="D11"/>
    </sheetView>
  </sheetViews>
  <sheetFormatPr baseColWidth="10" defaultColWidth="8.83203125" defaultRowHeight="15" x14ac:dyDescent="0.2"/>
  <cols>
    <col min="1" max="1" width="52.83203125" customWidth="1"/>
    <col min="2" max="2" width="11.33203125" style="4" customWidth="1"/>
    <col min="3" max="3" width="82.5" customWidth="1"/>
    <col min="5" max="5" width="5.33203125" customWidth="1"/>
    <col min="6" max="6" width="42.6640625" customWidth="1"/>
    <col min="7" max="7" width="15.1640625" customWidth="1"/>
    <col min="8" max="8" width="15.6640625" bestFit="1" customWidth="1"/>
    <col min="9" max="9" width="6" customWidth="1"/>
    <col min="10" max="10" width="22.1640625" customWidth="1"/>
    <col min="12" max="12" width="19.6640625" customWidth="1"/>
  </cols>
  <sheetData>
    <row r="1" spans="1:13" x14ac:dyDescent="0.2">
      <c r="A1" s="24" t="s">
        <v>9</v>
      </c>
      <c r="B1" s="29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13" x14ac:dyDescent="0.2">
      <c r="A2" s="30"/>
      <c r="B2" s="29"/>
      <c r="C2" s="30"/>
      <c r="D2" s="30"/>
      <c r="E2" s="30"/>
      <c r="F2" s="24" t="s">
        <v>22</v>
      </c>
      <c r="G2" s="29">
        <f>4096*8</f>
        <v>32768</v>
      </c>
      <c r="H2" s="30"/>
      <c r="I2" s="30"/>
      <c r="J2" s="30"/>
      <c r="K2" s="30"/>
      <c r="L2" s="30"/>
      <c r="M2" s="30"/>
    </row>
    <row r="3" spans="1:13" x14ac:dyDescent="0.2">
      <c r="A3" s="24" t="s">
        <v>28</v>
      </c>
      <c r="B3" s="29">
        <f>JobDefinitionCountNonIWS</f>
        <v>100000</v>
      </c>
      <c r="C3" s="24"/>
      <c r="D3" s="30"/>
      <c r="E3" s="30"/>
      <c r="F3" s="24" t="s">
        <v>57</v>
      </c>
      <c r="G3" s="31">
        <v>0.5</v>
      </c>
      <c r="H3" s="30"/>
      <c r="I3" s="30"/>
      <c r="J3" s="30"/>
      <c r="K3" s="30"/>
      <c r="L3" s="30"/>
      <c r="M3" s="30"/>
    </row>
    <row r="4" spans="1:13" x14ac:dyDescent="0.2">
      <c r="A4" s="24" t="s">
        <v>27</v>
      </c>
      <c r="B4" s="29">
        <f>JobDefinitionCountIWS</f>
        <v>0</v>
      </c>
      <c r="C4" s="30"/>
      <c r="D4" s="30"/>
      <c r="E4" s="30"/>
      <c r="F4" s="24" t="s">
        <v>58</v>
      </c>
      <c r="G4" s="29">
        <v>2</v>
      </c>
      <c r="H4" s="30"/>
      <c r="I4" s="30"/>
      <c r="J4" s="30"/>
      <c r="K4" s="30"/>
      <c r="L4" s="30"/>
      <c r="M4" s="30"/>
    </row>
    <row r="5" spans="1:13" x14ac:dyDescent="0.2">
      <c r="A5" s="24" t="s">
        <v>1</v>
      </c>
      <c r="B5" s="29">
        <f>NumberOfSchedulerInstances</f>
        <v>1</v>
      </c>
      <c r="C5" s="24"/>
      <c r="D5" s="30"/>
      <c r="E5" s="30"/>
      <c r="F5" s="24" t="s">
        <v>23</v>
      </c>
      <c r="G5" s="29">
        <f>4096+2048</f>
        <v>6144</v>
      </c>
      <c r="H5" s="30"/>
      <c r="I5" s="30"/>
      <c r="J5" s="30"/>
      <c r="K5" s="30"/>
      <c r="L5" s="30"/>
      <c r="M5" s="30"/>
    </row>
    <row r="6" spans="1:13" x14ac:dyDescent="0.2">
      <c r="A6" s="24" t="s">
        <v>2</v>
      </c>
      <c r="B6" s="29">
        <f>DaysOfHistoryRetention</f>
        <v>365</v>
      </c>
      <c r="C6" s="24"/>
      <c r="D6" s="30"/>
      <c r="E6" s="30"/>
      <c r="F6" s="24" t="s">
        <v>26</v>
      </c>
      <c r="G6" s="29">
        <v>5</v>
      </c>
      <c r="H6" s="30"/>
      <c r="I6" s="30"/>
      <c r="J6" s="30"/>
      <c r="K6" s="30"/>
      <c r="L6" s="30"/>
      <c r="M6" s="30"/>
    </row>
    <row r="7" spans="1:13" x14ac:dyDescent="0.2">
      <c r="A7" s="24" t="s">
        <v>45</v>
      </c>
      <c r="B7" s="29">
        <f>HoursOfCompletedRunsInMemory</f>
        <v>48</v>
      </c>
      <c r="C7" s="24"/>
      <c r="D7" s="30"/>
      <c r="E7" s="30"/>
      <c r="F7" s="24" t="s">
        <v>56</v>
      </c>
      <c r="G7" s="29">
        <v>8</v>
      </c>
      <c r="H7" s="30"/>
      <c r="I7" s="30"/>
      <c r="J7" s="30"/>
      <c r="K7" s="30"/>
      <c r="L7" s="30"/>
      <c r="M7" s="30"/>
    </row>
    <row r="8" spans="1:13" x14ac:dyDescent="0.2">
      <c r="A8" s="24" t="s">
        <v>44</v>
      </c>
      <c r="B8" s="29">
        <f>HoursOfForecastedRunsInMemory</f>
        <v>48</v>
      </c>
      <c r="C8" s="30"/>
      <c r="D8" s="30"/>
      <c r="E8" s="30"/>
      <c r="F8" s="24" t="s">
        <v>51</v>
      </c>
      <c r="G8" s="29">
        <f>16384+2048</f>
        <v>18432</v>
      </c>
      <c r="H8" s="30"/>
      <c r="I8" s="30"/>
      <c r="J8" s="30"/>
      <c r="K8" s="30"/>
      <c r="L8" s="30"/>
      <c r="M8" s="30"/>
    </row>
    <row r="9" spans="1:13" x14ac:dyDescent="0.2">
      <c r="A9" s="30"/>
      <c r="B9" s="29"/>
      <c r="C9" s="24"/>
      <c r="D9" s="30"/>
      <c r="E9" s="30"/>
      <c r="F9" s="30"/>
      <c r="G9" s="30"/>
      <c r="H9" s="24" t="s">
        <v>24</v>
      </c>
      <c r="I9" s="24"/>
      <c r="J9" s="24" t="s">
        <v>25</v>
      </c>
      <c r="K9" s="30"/>
      <c r="L9" s="24" t="s">
        <v>53</v>
      </c>
      <c r="M9" s="30"/>
    </row>
    <row r="10" spans="1:13" x14ac:dyDescent="0.2">
      <c r="A10" s="24" t="s">
        <v>10</v>
      </c>
      <c r="B10" s="29"/>
      <c r="C10" s="24" t="s">
        <v>3</v>
      </c>
      <c r="D10" s="32">
        <f>IF(4+B5&gt;32,32, 4+B5)</f>
        <v>5</v>
      </c>
      <c r="E10" s="33"/>
      <c r="F10" s="30"/>
      <c r="G10" s="30"/>
      <c r="H10" s="30"/>
      <c r="I10" s="30"/>
      <c r="J10" s="30"/>
      <c r="K10" s="30"/>
      <c r="L10" s="30"/>
      <c r="M10" s="30"/>
    </row>
    <row r="11" spans="1:13" x14ac:dyDescent="0.2">
      <c r="A11" s="30"/>
      <c r="B11" s="29"/>
      <c r="C11" s="24" t="s">
        <v>62</v>
      </c>
      <c r="D11" s="34">
        <f>IF(B3+B4&lt;1000000,100,IF(B3+B4&lt;2500000,200,IF(B3+B4&lt;5000000,400,800)))</f>
        <v>100</v>
      </c>
      <c r="E11" s="33"/>
      <c r="F11" s="30"/>
      <c r="G11" s="30"/>
      <c r="H11" s="35"/>
      <c r="I11" s="30"/>
      <c r="J11" s="30"/>
      <c r="K11" s="30"/>
      <c r="L11" s="30"/>
      <c r="M11" s="30"/>
    </row>
    <row r="12" spans="1:13" x14ac:dyDescent="0.2">
      <c r="A12" s="30"/>
      <c r="B12" s="29"/>
      <c r="C12" s="30"/>
      <c r="D12" s="34"/>
      <c r="E12" s="33"/>
      <c r="F12" s="30" t="s">
        <v>49</v>
      </c>
      <c r="G12" s="35"/>
      <c r="H12" s="36">
        <f>(JobCountNonIWS*BytesPerJobDefinition)/1000000</f>
        <v>3276.8</v>
      </c>
      <c r="I12" s="30" t="s">
        <v>50</v>
      </c>
      <c r="J12" s="36">
        <f>(IWSJobCountInitial*BytesPerJobDefinition)/1000000</f>
        <v>0</v>
      </c>
      <c r="K12" s="30" t="s">
        <v>50</v>
      </c>
      <c r="L12" s="35"/>
      <c r="M12" s="30"/>
    </row>
    <row r="13" spans="1:13" ht="16" x14ac:dyDescent="0.2">
      <c r="A13" s="37" t="s">
        <v>29</v>
      </c>
      <c r="B13" s="29"/>
      <c r="C13" s="38" t="s">
        <v>30</v>
      </c>
      <c r="D13" s="34">
        <f>IF(B3+B4&lt;1000000,16,IF(B3+B4&lt;2500000,32,IF(B3+B4&lt;5000000,64,128)))</f>
        <v>16</v>
      </c>
      <c r="E13" s="33"/>
      <c r="F13" s="30" t="s">
        <v>47</v>
      </c>
      <c r="G13" s="35"/>
      <c r="H13" s="35"/>
      <c r="I13" s="30"/>
      <c r="J13" s="35"/>
      <c r="K13" s="30"/>
      <c r="L13" s="36">
        <f>((JobRunsPerDayInitial*BytesPerJobRun)*((HoursOfCompletedRunsInMemory+HoursOfForecastedRunsInMemory)/24))/1000000</f>
        <v>2457.6</v>
      </c>
      <c r="M13" s="30" t="s">
        <v>50</v>
      </c>
    </row>
    <row r="14" spans="1:13" ht="16" x14ac:dyDescent="0.2">
      <c r="A14" s="30"/>
      <c r="B14" s="29"/>
      <c r="C14" s="38" t="s">
        <v>31</v>
      </c>
      <c r="D14" s="34">
        <f>IF(B3+B4&lt;1000000,4,IF(B3+B4&lt;2500000,8,IF(B3+B4&lt;5000000,16,32)))</f>
        <v>4</v>
      </c>
      <c r="E14" s="33"/>
      <c r="F14" s="30" t="s">
        <v>48</v>
      </c>
      <c r="G14" s="35"/>
      <c r="H14" s="36">
        <f>(JobCountNonIWS*BytesPerJobInTheGraph*NumberOfGraphsForNonIWS)/1000000</f>
        <v>3686.4</v>
      </c>
      <c r="I14" s="30" t="s">
        <v>50</v>
      </c>
      <c r="J14" s="39">
        <f>(IWSJobCountInitial*BytesPerJobInTheGraph*NumberOfGraphsForIWS)/1000000</f>
        <v>0</v>
      </c>
      <c r="K14" s="30" t="s">
        <v>50</v>
      </c>
      <c r="L14" s="35"/>
      <c r="M14" s="30"/>
    </row>
    <row r="15" spans="1:13" ht="16" x14ac:dyDescent="0.2">
      <c r="A15" s="30"/>
      <c r="B15" s="29"/>
      <c r="C15" s="38" t="s">
        <v>32</v>
      </c>
      <c r="D15" s="34">
        <f>IF(B3+B4&lt;1000000,100,IF(B3+B4&lt;2500000,200,IF(B3+B4&lt;5000000,400,800)))</f>
        <v>100</v>
      </c>
      <c r="E15" s="33"/>
      <c r="F15" s="30"/>
      <c r="G15" s="30"/>
      <c r="H15" s="30"/>
      <c r="I15" s="30"/>
      <c r="J15" s="30"/>
      <c r="K15" s="30"/>
      <c r="L15" s="30"/>
      <c r="M15" s="30"/>
    </row>
    <row r="16" spans="1:13" x14ac:dyDescent="0.2">
      <c r="A16" s="30"/>
      <c r="B16" s="29"/>
      <c r="C16" s="40"/>
      <c r="D16" s="34"/>
      <c r="E16" s="33"/>
      <c r="F16" s="30"/>
      <c r="G16" s="30"/>
      <c r="H16" s="30"/>
      <c r="I16" s="30"/>
      <c r="J16" s="30"/>
      <c r="K16" s="30"/>
      <c r="L16" s="30"/>
      <c r="M16" s="30"/>
    </row>
    <row r="17" spans="1:14" x14ac:dyDescent="0.2">
      <c r="A17" s="30"/>
      <c r="B17" s="29"/>
      <c r="C17" s="40"/>
      <c r="D17" s="34"/>
      <c r="E17" s="33"/>
      <c r="F17" s="30"/>
      <c r="G17" s="30"/>
      <c r="H17" s="41">
        <f>SUM(MemoryJobDefsNonIWSJobs,MemoryPredictionGraphNonIWSJobs)/1000</f>
        <v>6.9632000000000005</v>
      </c>
      <c r="I17" s="30" t="s">
        <v>52</v>
      </c>
      <c r="J17" s="41">
        <f>SUM(MemoryJobDefsIWSJobs,MemoryPredictionGraphIWSJobs)/1000</f>
        <v>0</v>
      </c>
      <c r="K17" s="30" t="s">
        <v>52</v>
      </c>
      <c r="L17" s="41">
        <f>MemoryForJobRuns/1000</f>
        <v>2.4575999999999998</v>
      </c>
      <c r="M17" s="30" t="s">
        <v>52</v>
      </c>
    </row>
    <row r="18" spans="1:14" x14ac:dyDescent="0.2">
      <c r="A18" s="30"/>
      <c r="B18" s="29"/>
      <c r="C18" s="30"/>
      <c r="D18" s="34"/>
      <c r="E18" s="30"/>
      <c r="F18" s="24" t="s">
        <v>54</v>
      </c>
      <c r="G18" s="30"/>
      <c r="H18" s="42"/>
      <c r="I18" s="30"/>
      <c r="J18" s="42"/>
      <c r="K18" s="30"/>
      <c r="L18" s="43">
        <f>MemoryGBForOS+BasicMinMemory+ROUNDUP((TotalMemoryForJobDefsNonIWS+TotalMemoryForJobDefsIWS+TotalMemoryForJobRuns)/MaxPercentMemUtilization,0)</f>
        <v>33</v>
      </c>
      <c r="M18" s="30"/>
    </row>
    <row r="19" spans="1:14" x14ac:dyDescent="0.2">
      <c r="A19" s="24" t="s">
        <v>21</v>
      </c>
      <c r="B19" s="29"/>
      <c r="C19" s="24" t="s">
        <v>30</v>
      </c>
      <c r="D19" s="34">
        <f>IF(B3+B4&lt;250000, 16, IF(B3+B4&lt;500000, 24,IF(B3+B4&lt;1000000, 32,IF(B3+B4&lt;2500000, 48, IF(B3+B4&lt;5000000,56,64)))))</f>
        <v>16</v>
      </c>
      <c r="E19" s="30"/>
      <c r="F19" s="30"/>
      <c r="G19" s="30"/>
      <c r="H19" s="30"/>
      <c r="I19" s="30"/>
      <c r="J19" s="30"/>
      <c r="K19" s="30"/>
      <c r="L19" s="30"/>
      <c r="M19" s="30"/>
    </row>
    <row r="20" spans="1:14" x14ac:dyDescent="0.2">
      <c r="A20" s="30"/>
      <c r="B20" s="29"/>
      <c r="C20" s="24" t="s">
        <v>33</v>
      </c>
      <c r="D20" s="34">
        <f>IF(B3+B4&lt;250000, 4, IF(B3+B4&lt;500000, 6,IF(B3+B4&lt;1000000, 8,IF(B3+B4&lt;2500000, 10, IF(B3+B4&lt;5000000,12,16)))))</f>
        <v>4</v>
      </c>
      <c r="E20" s="30"/>
      <c r="F20" s="30"/>
      <c r="G20" s="30"/>
      <c r="H20" s="30"/>
      <c r="I20" s="30"/>
      <c r="J20" s="30"/>
      <c r="K20" s="30"/>
      <c r="L20" s="30"/>
      <c r="M20" s="30"/>
    </row>
    <row r="21" spans="1:14" x14ac:dyDescent="0.2">
      <c r="A21" s="30"/>
      <c r="B21" s="29"/>
      <c r="C21" s="24"/>
      <c r="D21" s="34"/>
      <c r="E21" s="30"/>
      <c r="F21" s="30"/>
      <c r="G21" s="30"/>
      <c r="H21" s="30"/>
      <c r="I21" s="30"/>
      <c r="J21" s="30"/>
      <c r="K21" s="30"/>
      <c r="L21" s="30"/>
      <c r="M21" s="44"/>
    </row>
    <row r="22" spans="1:14" x14ac:dyDescent="0.2">
      <c r="A22" s="30"/>
      <c r="B22" s="29"/>
      <c r="C22" s="45"/>
      <c r="D22" s="34"/>
      <c r="E22" s="30"/>
      <c r="F22" s="30"/>
      <c r="G22" s="30"/>
      <c r="H22" s="46"/>
      <c r="I22" s="30"/>
      <c r="J22" s="30"/>
      <c r="K22" s="30"/>
      <c r="L22" s="30"/>
      <c r="M22" s="30"/>
    </row>
    <row r="23" spans="1:14" x14ac:dyDescent="0.2">
      <c r="A23" s="30"/>
      <c r="B23" s="29"/>
      <c r="C23" s="40"/>
      <c r="D23" s="34"/>
      <c r="E23" s="30"/>
      <c r="F23" s="30"/>
      <c r="G23" s="30"/>
      <c r="H23" s="30"/>
      <c r="I23" s="30"/>
      <c r="J23" s="30"/>
      <c r="K23" s="30"/>
      <c r="L23" s="30"/>
      <c r="M23" s="47"/>
    </row>
    <row r="24" spans="1:14" x14ac:dyDescent="0.2">
      <c r="A24" s="30"/>
      <c r="B24" s="29"/>
      <c r="C24" s="30"/>
      <c r="D24" s="34"/>
      <c r="E24" s="30"/>
      <c r="F24" s="30"/>
      <c r="G24" s="48"/>
      <c r="H24" s="49"/>
      <c r="I24" s="30"/>
      <c r="J24" s="30"/>
      <c r="K24" s="30"/>
      <c r="L24" s="30"/>
      <c r="M24" s="30"/>
    </row>
    <row r="25" spans="1:14" x14ac:dyDescent="0.2">
      <c r="A25" s="24" t="s">
        <v>11</v>
      </c>
      <c r="B25" s="29"/>
      <c r="C25" s="24" t="s">
        <v>4</v>
      </c>
      <c r="D25" s="34">
        <f>ROUNDUP(CEILING((DaysOfHistoryRetention*(B3+B4))/1000 *0.5,1024)/1024,0)</f>
        <v>18</v>
      </c>
      <c r="E25" s="30"/>
      <c r="F25" s="30"/>
      <c r="G25" s="30"/>
      <c r="H25" s="49"/>
      <c r="I25" s="30"/>
      <c r="J25" s="30"/>
      <c r="K25" s="30"/>
      <c r="L25" s="30"/>
      <c r="M25" s="30"/>
    </row>
    <row r="26" spans="1:14" x14ac:dyDescent="0.2">
      <c r="A26" s="30"/>
      <c r="B26" s="29"/>
      <c r="C26" s="24" t="s">
        <v>5</v>
      </c>
      <c r="D26" s="34">
        <f>ROUNDUP(CEILING((B6*(B3+B4))/1000,1024)/1024,0)</f>
        <v>36</v>
      </c>
      <c r="E26" s="30"/>
      <c r="F26" s="30"/>
      <c r="G26" s="30"/>
      <c r="H26" s="49"/>
      <c r="I26" s="30"/>
      <c r="J26" s="30"/>
      <c r="K26" s="30"/>
      <c r="L26" s="30"/>
      <c r="M26" s="30"/>
    </row>
    <row r="27" spans="1:14" x14ac:dyDescent="0.2">
      <c r="A27" s="30"/>
      <c r="B27" s="29"/>
      <c r="C27" s="24" t="s">
        <v>6</v>
      </c>
      <c r="D27" s="34">
        <f>(ROUNDUP(CEILING((B6*(B3+B4))/1000*0.5,1024)/4/1024,0))</f>
        <v>5</v>
      </c>
      <c r="E27" s="30"/>
      <c r="F27" s="30"/>
      <c r="G27" s="30"/>
      <c r="H27" s="42"/>
      <c r="I27" s="30"/>
      <c r="J27" s="30"/>
      <c r="K27" s="30"/>
      <c r="L27" s="30"/>
      <c r="M27" s="30"/>
    </row>
    <row r="28" spans="1:14" x14ac:dyDescent="0.2">
      <c r="A28" s="30"/>
      <c r="B28" s="29"/>
      <c r="C28" s="30"/>
      <c r="D28" s="34"/>
      <c r="E28" s="30"/>
      <c r="F28" s="30"/>
      <c r="G28" s="30"/>
      <c r="H28" s="42"/>
      <c r="I28" s="30"/>
      <c r="J28" s="30"/>
      <c r="K28" s="30"/>
      <c r="L28" s="30"/>
      <c r="M28" s="30"/>
    </row>
    <row r="29" spans="1:14" x14ac:dyDescent="0.2">
      <c r="A29" s="30"/>
      <c r="B29" s="29"/>
      <c r="C29" s="30"/>
      <c r="D29" s="34"/>
      <c r="E29" s="30"/>
      <c r="F29" s="30"/>
      <c r="G29" s="30"/>
      <c r="H29" s="30"/>
      <c r="I29" s="30"/>
      <c r="J29" s="30"/>
      <c r="K29" s="30"/>
      <c r="L29" s="30"/>
      <c r="M29" s="30"/>
    </row>
    <row r="30" spans="1:14" x14ac:dyDescent="0.2">
      <c r="A30" s="24" t="s">
        <v>12</v>
      </c>
      <c r="B30" s="29"/>
      <c r="C30" s="24" t="s">
        <v>7</v>
      </c>
      <c r="D30" s="34">
        <f>ROUNDUP(CEILING(B6*(B3+B4)/1000 *3.5,1024)/1024,0)</f>
        <v>125</v>
      </c>
      <c r="E30" s="30"/>
      <c r="F30" s="30"/>
      <c r="G30" s="30"/>
      <c r="H30" s="30"/>
      <c r="I30" s="30"/>
      <c r="J30" s="30"/>
      <c r="K30" s="30"/>
      <c r="L30" s="30"/>
      <c r="M30" s="30"/>
    </row>
    <row r="31" spans="1:14" ht="20" x14ac:dyDescent="0.2">
      <c r="A31" s="30"/>
      <c r="B31" s="29"/>
      <c r="C31" s="24" t="s">
        <v>8</v>
      </c>
      <c r="D31" s="34">
        <f>ROUNDUP(CEILING(B6*(B3+B4)/1000 *3.5,1024)/1024/2,0)</f>
        <v>63</v>
      </c>
      <c r="E31" s="30"/>
      <c r="F31" s="30"/>
      <c r="G31" s="30"/>
      <c r="H31" s="30"/>
      <c r="I31" s="30"/>
      <c r="J31" s="50"/>
      <c r="K31" s="50"/>
      <c r="L31" s="50"/>
      <c r="M31" s="50"/>
      <c r="N31" s="21"/>
    </row>
    <row r="32" spans="1:14" x14ac:dyDescent="0.2">
      <c r="A32" s="30"/>
      <c r="B32" s="29"/>
      <c r="C32" s="30"/>
      <c r="D32" s="34"/>
      <c r="E32" s="30"/>
      <c r="F32" s="30"/>
      <c r="G32" s="30"/>
      <c r="H32" s="30"/>
      <c r="I32" s="30"/>
      <c r="J32" s="30"/>
      <c r="K32" s="30"/>
      <c r="L32" s="30"/>
      <c r="M32" s="30"/>
    </row>
    <row r="33" spans="1:13" x14ac:dyDescent="0.2">
      <c r="A33" s="30"/>
      <c r="B33" s="29"/>
      <c r="C33" s="30"/>
      <c r="D33" s="34"/>
      <c r="E33" s="30"/>
      <c r="F33" s="30"/>
      <c r="G33" s="30"/>
      <c r="H33" s="30"/>
      <c r="I33" s="30"/>
      <c r="J33" s="47"/>
      <c r="K33" s="30"/>
      <c r="L33" s="30"/>
      <c r="M33" s="30"/>
    </row>
    <row r="34" spans="1:13" x14ac:dyDescent="0.2">
      <c r="A34" s="30"/>
      <c r="B34" s="29"/>
      <c r="C34" s="30"/>
      <c r="D34" s="34"/>
      <c r="E34" s="30"/>
      <c r="F34" s="30"/>
      <c r="G34" s="30"/>
      <c r="H34" s="30"/>
      <c r="I34" s="30"/>
      <c r="J34" s="30"/>
      <c r="K34" s="30"/>
      <c r="L34" s="30"/>
      <c r="M34" s="30"/>
    </row>
    <row r="35" spans="1:13" x14ac:dyDescent="0.2">
      <c r="A35" s="30"/>
      <c r="B35" s="29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</row>
    <row r="37" spans="1:13" x14ac:dyDescent="0.2">
      <c r="C37" s="18"/>
    </row>
    <row r="38" spans="1:13" x14ac:dyDescent="0.2">
      <c r="G38" s="11"/>
    </row>
  </sheetData>
  <sheetProtection algorithmName="SHA-512" hashValue="ScKU98Zhf+NTq2WwHUsI4wFISNE0N9NfVque4eTC5fCutO3nAdIJtJi4xJgFzRbyfywK4iOCwYEdrd4SIKz1gg==" saltValue="FKME18Nr7BSJqDqeupP5qw==" spinCount="100000" sheet="1" objects="1" scenarios="1" selectLockedCells="1" selectUnlockedCells="1"/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38"/>
  <sheetViews>
    <sheetView zoomScaleNormal="100" workbookViewId="0">
      <selection activeCell="D11" sqref="D11"/>
    </sheetView>
  </sheetViews>
  <sheetFormatPr baseColWidth="10" defaultColWidth="8.83203125" defaultRowHeight="15" x14ac:dyDescent="0.2"/>
  <cols>
    <col min="1" max="1" width="53.6640625" customWidth="1"/>
    <col min="2" max="2" width="13.5" style="4" customWidth="1"/>
    <col min="3" max="3" width="81.6640625" customWidth="1"/>
    <col min="4" max="4" width="8.83203125" customWidth="1"/>
    <col min="5" max="5" width="5" customWidth="1"/>
    <col min="6" max="6" width="27.5" customWidth="1"/>
    <col min="7" max="8" width="8.5" customWidth="1"/>
    <col min="9" max="9" width="10.5" customWidth="1"/>
    <col min="10" max="11" width="8.5" customWidth="1"/>
    <col min="12" max="12" width="15.6640625" customWidth="1"/>
    <col min="13" max="13" width="27.5" customWidth="1"/>
  </cols>
  <sheetData>
    <row r="1" spans="1:13" x14ac:dyDescent="0.2">
      <c r="A1" s="24" t="s">
        <v>9</v>
      </c>
      <c r="B1" s="29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13" x14ac:dyDescent="0.2">
      <c r="A2" s="30"/>
      <c r="B2" s="29"/>
      <c r="C2" s="30"/>
      <c r="D2" s="30"/>
      <c r="E2" s="30"/>
      <c r="F2" s="24"/>
      <c r="G2" s="29"/>
      <c r="H2" s="30"/>
      <c r="I2" s="30"/>
      <c r="J2" s="30"/>
      <c r="K2" s="30"/>
      <c r="L2" s="30"/>
      <c r="M2" s="30"/>
    </row>
    <row r="3" spans="1:13" x14ac:dyDescent="0.2">
      <c r="A3" s="24" t="s">
        <v>0</v>
      </c>
      <c r="B3" s="29">
        <f>Initial!B3*(1+'AAI Sizing'!D5)</f>
        <v>101000</v>
      </c>
      <c r="C3" s="24"/>
      <c r="D3" s="30"/>
      <c r="E3" s="30"/>
      <c r="F3" s="24"/>
      <c r="G3" s="39"/>
      <c r="H3" s="30"/>
      <c r="I3" s="30"/>
      <c r="J3" s="30"/>
      <c r="K3" s="30"/>
      <c r="L3" s="30"/>
      <c r="M3" s="30"/>
    </row>
    <row r="4" spans="1:13" x14ac:dyDescent="0.2">
      <c r="A4" s="24" t="s">
        <v>27</v>
      </c>
      <c r="B4" s="29">
        <f>Initial!B4*(1+'AAI Sizing'!D5)</f>
        <v>0</v>
      </c>
      <c r="C4" s="30"/>
      <c r="D4" s="30"/>
      <c r="E4" s="30"/>
      <c r="F4" s="24"/>
      <c r="G4" s="39"/>
      <c r="H4" s="30"/>
      <c r="I4" s="30"/>
      <c r="J4" s="30"/>
      <c r="K4" s="30"/>
      <c r="L4" s="30"/>
      <c r="M4" s="30"/>
    </row>
    <row r="5" spans="1:13" x14ac:dyDescent="0.2">
      <c r="A5" s="24" t="s">
        <v>1</v>
      </c>
      <c r="B5" s="29">
        <f>Initial!B5</f>
        <v>1</v>
      </c>
      <c r="C5" s="24"/>
      <c r="D5" s="30"/>
      <c r="E5" s="30"/>
      <c r="F5" s="24"/>
      <c r="G5" s="29"/>
      <c r="H5" s="30"/>
      <c r="I5" s="30"/>
      <c r="J5" s="30"/>
      <c r="K5" s="30"/>
      <c r="L5" s="30"/>
      <c r="M5" s="30"/>
    </row>
    <row r="6" spans="1:13" x14ac:dyDescent="0.2">
      <c r="A6" s="24" t="s">
        <v>2</v>
      </c>
      <c r="B6" s="29">
        <f>Initial!B6</f>
        <v>365</v>
      </c>
      <c r="C6" s="24"/>
      <c r="D6" s="30"/>
      <c r="E6" s="30"/>
      <c r="F6" s="24"/>
      <c r="G6" s="29"/>
      <c r="H6" s="30"/>
      <c r="I6" s="30"/>
      <c r="J6" s="30"/>
      <c r="K6" s="30"/>
      <c r="L6" s="30"/>
      <c r="M6" s="30"/>
    </row>
    <row r="7" spans="1:13" x14ac:dyDescent="0.2">
      <c r="A7" s="24" t="s">
        <v>42</v>
      </c>
      <c r="B7" s="29">
        <f>Initial!B7</f>
        <v>48</v>
      </c>
      <c r="C7" s="24"/>
      <c r="D7" s="30"/>
      <c r="E7" s="30"/>
      <c r="F7" s="24"/>
      <c r="G7" s="29"/>
      <c r="H7" s="30"/>
      <c r="I7" s="30"/>
      <c r="J7" s="30"/>
      <c r="K7" s="30"/>
      <c r="L7" s="30"/>
      <c r="M7" s="30"/>
    </row>
    <row r="8" spans="1:13" x14ac:dyDescent="0.2">
      <c r="A8" s="24" t="s">
        <v>44</v>
      </c>
      <c r="B8" s="29">
        <f>Initial!B8</f>
        <v>48</v>
      </c>
      <c r="C8" s="30"/>
      <c r="D8" s="30"/>
      <c r="E8" s="30"/>
      <c r="F8" s="24"/>
      <c r="G8" s="29"/>
      <c r="H8" s="30"/>
      <c r="I8" s="30"/>
      <c r="J8" s="30"/>
      <c r="K8" s="30"/>
      <c r="L8" s="30"/>
      <c r="M8" s="30"/>
    </row>
    <row r="9" spans="1:13" x14ac:dyDescent="0.2">
      <c r="A9" s="30"/>
      <c r="B9" s="29"/>
      <c r="C9" s="24"/>
      <c r="D9" s="30"/>
      <c r="E9" s="30"/>
      <c r="F9" s="30"/>
      <c r="G9" s="30"/>
      <c r="H9" s="30"/>
      <c r="I9" s="30"/>
      <c r="J9" s="30"/>
      <c r="K9" s="30"/>
      <c r="L9" s="30"/>
      <c r="M9" s="30"/>
    </row>
    <row r="10" spans="1:13" x14ac:dyDescent="0.2">
      <c r="A10" s="24" t="s">
        <v>10</v>
      </c>
      <c r="B10" s="29"/>
      <c r="C10" s="24" t="s">
        <v>3</v>
      </c>
      <c r="D10" s="32">
        <f>IF(4+B5&gt;32, 32, 4+B5)</f>
        <v>5</v>
      </c>
      <c r="E10" s="30"/>
      <c r="F10" s="30"/>
      <c r="G10" s="30"/>
      <c r="H10" s="30"/>
      <c r="I10" s="30"/>
      <c r="J10" s="30"/>
      <c r="K10" s="30"/>
      <c r="L10" s="30"/>
      <c r="M10" s="30"/>
    </row>
    <row r="11" spans="1:13" x14ac:dyDescent="0.2">
      <c r="A11" s="30"/>
      <c r="B11" s="29"/>
      <c r="C11" s="24" t="s">
        <v>62</v>
      </c>
      <c r="D11" s="34">
        <f>IF(B3+B4&lt;1000000,100,IF(B3+B4&lt;2500000,200,IF(B3+B4&lt;5000000,400,800)))</f>
        <v>100</v>
      </c>
      <c r="E11" s="30"/>
      <c r="F11" s="30"/>
      <c r="G11" s="30"/>
      <c r="H11" s="24" t="s">
        <v>24</v>
      </c>
      <c r="I11" s="24"/>
      <c r="J11" s="24" t="s">
        <v>25</v>
      </c>
      <c r="K11" s="24"/>
      <c r="L11" s="24" t="s">
        <v>53</v>
      </c>
      <c r="M11" s="30"/>
    </row>
    <row r="12" spans="1:13" x14ac:dyDescent="0.2">
      <c r="A12" s="30"/>
      <c r="B12" s="29"/>
      <c r="C12" s="30"/>
      <c r="D12" s="34"/>
      <c r="E12" s="30"/>
      <c r="F12" s="30"/>
      <c r="G12" s="30"/>
      <c r="H12" s="30"/>
      <c r="I12" s="30"/>
      <c r="J12" s="30"/>
      <c r="K12" s="30"/>
      <c r="L12" s="30"/>
      <c r="M12" s="30"/>
    </row>
    <row r="13" spans="1:13" ht="16" x14ac:dyDescent="0.2">
      <c r="A13" s="37" t="s">
        <v>29</v>
      </c>
      <c r="B13" s="29"/>
      <c r="C13" s="38" t="s">
        <v>30</v>
      </c>
      <c r="D13" s="34">
        <f>IF(B3+B4&lt;1000000,16,IF(B3+B4&lt;2500000,32,IF(B3+B4&lt;5000000,64,128)))</f>
        <v>16</v>
      </c>
      <c r="E13" s="30"/>
      <c r="F13" s="30"/>
      <c r="G13" s="30"/>
      <c r="H13" s="35"/>
      <c r="I13" s="30"/>
      <c r="J13" s="30"/>
      <c r="K13" s="30"/>
      <c r="L13" s="30"/>
      <c r="M13" s="30"/>
    </row>
    <row r="14" spans="1:13" ht="16" x14ac:dyDescent="0.2">
      <c r="A14" s="30"/>
      <c r="B14" s="29"/>
      <c r="C14" s="38" t="s">
        <v>31</v>
      </c>
      <c r="D14" s="34">
        <f>IF(B3+B4&lt;1000000,4,IF(B3+B4&lt;2500000,8,IF(B3+B4&lt;5000000,16,32)))</f>
        <v>4</v>
      </c>
      <c r="E14" s="30"/>
      <c r="F14" s="30" t="s">
        <v>49</v>
      </c>
      <c r="G14" s="35"/>
      <c r="H14" s="35">
        <f>(JobCountY1*BytesPerJobDefinition)/1000000</f>
        <v>3309.5680000000002</v>
      </c>
      <c r="I14" s="30" t="s">
        <v>50</v>
      </c>
      <c r="J14" s="35">
        <f>(IWSJobCountY1*BytesPerJobDefinition)/1000000</f>
        <v>0</v>
      </c>
      <c r="K14" s="30" t="s">
        <v>50</v>
      </c>
      <c r="L14" s="35"/>
      <c r="M14" s="30"/>
    </row>
    <row r="15" spans="1:13" ht="16" x14ac:dyDescent="0.2">
      <c r="A15" s="30"/>
      <c r="B15" s="29"/>
      <c r="C15" s="38" t="s">
        <v>32</v>
      </c>
      <c r="D15" s="34">
        <f>IF(B3+B4&lt;1000000,100,IF(B3+B4&lt;2500000,200,IF(B3+B4&lt;5000000,400,800)))</f>
        <v>100</v>
      </c>
      <c r="E15" s="30"/>
      <c r="F15" s="30" t="s">
        <v>47</v>
      </c>
      <c r="G15" s="35"/>
      <c r="H15" s="35"/>
      <c r="I15" s="30"/>
      <c r="J15" s="35"/>
      <c r="K15" s="30"/>
      <c r="L15" s="35">
        <f>((JobRunsPerDayY1*BytesPerJobRun)*((HoursOfCompletedRunsInMemory+HoursOfForecastedRunsInMemory)/24))/1000000</f>
        <v>2482.1759999999999</v>
      </c>
      <c r="M15" s="30" t="s">
        <v>50</v>
      </c>
    </row>
    <row r="16" spans="1:13" x14ac:dyDescent="0.2">
      <c r="A16" s="30"/>
      <c r="B16" s="29"/>
      <c r="C16" s="40"/>
      <c r="D16" s="34"/>
      <c r="E16" s="30"/>
      <c r="F16" s="30" t="s">
        <v>48</v>
      </c>
      <c r="G16" s="35"/>
      <c r="H16" s="35">
        <f>(JobCountY1*BytesPerJobInTheGraph*NumberOfGraphsForNonIWS)/1000000</f>
        <v>3723.2640000000001</v>
      </c>
      <c r="I16" s="30" t="s">
        <v>50</v>
      </c>
      <c r="J16" s="29">
        <f>IWSJobCountY1*BytesPerJobInTheGraph*NumberOfGraphsForIWS/1000000</f>
        <v>0</v>
      </c>
      <c r="K16" s="30" t="s">
        <v>50</v>
      </c>
      <c r="L16" s="35"/>
      <c r="M16" s="30"/>
    </row>
    <row r="17" spans="1:13" x14ac:dyDescent="0.2">
      <c r="A17" s="30"/>
      <c r="B17" s="29"/>
      <c r="C17" s="40"/>
      <c r="D17" s="34"/>
      <c r="E17" s="30"/>
      <c r="F17" s="30"/>
      <c r="G17" s="30"/>
      <c r="H17" s="30"/>
      <c r="I17" s="30"/>
      <c r="J17" s="30"/>
      <c r="K17" s="30"/>
      <c r="L17" s="30"/>
      <c r="M17" s="30"/>
    </row>
    <row r="18" spans="1:13" x14ac:dyDescent="0.2">
      <c r="A18" s="30"/>
      <c r="B18" s="29"/>
      <c r="C18" s="30"/>
      <c r="D18" s="34"/>
      <c r="E18" s="30"/>
      <c r="F18" s="30"/>
      <c r="G18" s="30"/>
      <c r="H18" s="30"/>
      <c r="I18" s="30"/>
      <c r="J18" s="30"/>
      <c r="K18" s="30"/>
      <c r="L18" s="30"/>
      <c r="M18" s="30"/>
    </row>
    <row r="19" spans="1:13" x14ac:dyDescent="0.2">
      <c r="A19" s="24" t="s">
        <v>21</v>
      </c>
      <c r="B19" s="29"/>
      <c r="C19" s="24" t="s">
        <v>30</v>
      </c>
      <c r="D19" s="34">
        <f>IF(B3+B4&lt;250000, 16, IF(B3+B4&lt;500000, 24,IF(B3+B4&lt;1000000, 32,IF(B3+B4&lt;2500000, 48, IF(B3+B4&lt;5000000,56,64)))))</f>
        <v>16</v>
      </c>
      <c r="E19" s="30"/>
      <c r="F19" s="30"/>
      <c r="G19" s="30"/>
      <c r="H19" s="42">
        <f>SUM(H14:H16)/1000</f>
        <v>7.032832</v>
      </c>
      <c r="I19" s="30" t="s">
        <v>52</v>
      </c>
      <c r="J19" s="42">
        <f>SUM(J14:J16)/1000</f>
        <v>0</v>
      </c>
      <c r="K19" s="30" t="s">
        <v>52</v>
      </c>
      <c r="L19" s="42">
        <f>L15/1000</f>
        <v>2.4821759999999999</v>
      </c>
      <c r="M19" s="30" t="s">
        <v>52</v>
      </c>
    </row>
    <row r="20" spans="1:13" x14ac:dyDescent="0.2">
      <c r="A20" s="30"/>
      <c r="B20" s="29"/>
      <c r="C20" s="24" t="s">
        <v>33</v>
      </c>
      <c r="D20" s="34">
        <f>IF(B3+B4&lt;250000, 4, IF(B3+B4&lt;500000, 6,IF(B3+B4&lt;1000000, 8,IF(B3+B4&lt;2500000, 10, IF(B3+B4&lt;5000000,12,16)))))</f>
        <v>4</v>
      </c>
      <c r="E20" s="30"/>
      <c r="F20" s="24" t="s">
        <v>54</v>
      </c>
      <c r="G20" s="30"/>
      <c r="H20" s="42"/>
      <c r="I20" s="30"/>
      <c r="J20" s="42"/>
      <c r="K20" s="30"/>
      <c r="L20" s="43">
        <f>MemoryGBForOS+BasicMinMemory+ROUNDUP((H19+J19+L19)/MaxPercentMemUtilization,0)</f>
        <v>34</v>
      </c>
      <c r="M20" s="30"/>
    </row>
    <row r="21" spans="1:13" x14ac:dyDescent="0.2">
      <c r="A21" s="30"/>
      <c r="B21" s="29"/>
      <c r="C21" s="24"/>
      <c r="D21" s="34"/>
      <c r="E21" s="30"/>
      <c r="F21" s="30"/>
      <c r="G21" s="30"/>
      <c r="H21" s="30"/>
      <c r="I21" s="30"/>
      <c r="J21" s="30"/>
      <c r="K21" s="30"/>
      <c r="L21" s="30"/>
      <c r="M21" s="30"/>
    </row>
    <row r="22" spans="1:13" x14ac:dyDescent="0.2">
      <c r="A22" s="30"/>
      <c r="B22" s="29"/>
      <c r="C22" s="45"/>
      <c r="D22" s="34"/>
      <c r="E22" s="30"/>
      <c r="F22" s="30"/>
      <c r="G22" s="44"/>
      <c r="H22" s="30"/>
      <c r="I22" s="30"/>
      <c r="J22" s="30"/>
      <c r="K22" s="30"/>
      <c r="L22" s="44"/>
      <c r="M22" s="30"/>
    </row>
    <row r="23" spans="1:13" x14ac:dyDescent="0.2">
      <c r="A23" s="30"/>
      <c r="B23" s="29"/>
      <c r="C23" s="40"/>
      <c r="D23" s="34"/>
      <c r="E23" s="30"/>
      <c r="F23" s="30"/>
      <c r="G23" s="30"/>
      <c r="H23" s="30"/>
      <c r="I23" s="30"/>
      <c r="J23" s="30"/>
      <c r="K23" s="30"/>
      <c r="L23" s="30"/>
      <c r="M23" s="30"/>
    </row>
    <row r="24" spans="1:13" x14ac:dyDescent="0.2">
      <c r="A24" s="30"/>
      <c r="B24" s="29"/>
      <c r="C24" s="30"/>
      <c r="D24" s="34"/>
      <c r="E24" s="30"/>
      <c r="F24" s="30"/>
      <c r="G24" s="30"/>
      <c r="H24" s="30"/>
      <c r="I24" s="30"/>
      <c r="J24" s="30"/>
      <c r="K24" s="30"/>
      <c r="L24" s="30"/>
      <c r="M24" s="30"/>
    </row>
    <row r="25" spans="1:13" x14ac:dyDescent="0.2">
      <c r="A25" s="24" t="s">
        <v>11</v>
      </c>
      <c r="B25" s="29"/>
      <c r="C25" s="24" t="s">
        <v>4</v>
      </c>
      <c r="D25" s="34">
        <f>ROUNDUP(CEILING((B6*(B3+B4))/1000 *0.5,1024)/1024,0)</f>
        <v>19</v>
      </c>
      <c r="E25" s="30"/>
      <c r="F25" s="30"/>
      <c r="G25" s="30"/>
      <c r="H25" s="46"/>
      <c r="I25" s="30"/>
      <c r="J25" s="30"/>
      <c r="K25" s="30"/>
      <c r="L25" s="30"/>
      <c r="M25" s="30"/>
    </row>
    <row r="26" spans="1:13" x14ac:dyDescent="0.2">
      <c r="A26" s="30"/>
      <c r="B26" s="29"/>
      <c r="C26" s="24" t="s">
        <v>5</v>
      </c>
      <c r="D26" s="34">
        <f>ROUNDUP(CEILING((B6*(B3+B4))/1000,1024)/1024,0)</f>
        <v>37</v>
      </c>
      <c r="E26" s="30"/>
      <c r="F26" s="30"/>
      <c r="G26" s="30"/>
      <c r="H26" s="30"/>
      <c r="I26" s="30"/>
      <c r="J26" s="30"/>
      <c r="K26" s="30"/>
      <c r="L26" s="30"/>
      <c r="M26" s="30"/>
    </row>
    <row r="27" spans="1:13" x14ac:dyDescent="0.2">
      <c r="A27" s="30"/>
      <c r="B27" s="29"/>
      <c r="C27" s="24" t="s">
        <v>6</v>
      </c>
      <c r="D27" s="34">
        <f>ROUNDUP(CEILING((B6*(B3+B4))/1000 *0.5,1024)/4/1024,0)</f>
        <v>5</v>
      </c>
      <c r="E27" s="30"/>
      <c r="F27" s="30"/>
      <c r="G27" s="48"/>
      <c r="H27" s="30"/>
      <c r="I27" s="30"/>
      <c r="J27" s="30"/>
      <c r="K27" s="30"/>
      <c r="L27" s="30"/>
      <c r="M27" s="30"/>
    </row>
    <row r="28" spans="1:13" x14ac:dyDescent="0.2">
      <c r="A28" s="30"/>
      <c r="B28" s="29"/>
      <c r="C28" s="30"/>
      <c r="D28" s="34"/>
      <c r="E28" s="30"/>
      <c r="F28" s="30"/>
      <c r="G28" s="30"/>
      <c r="H28" s="30"/>
      <c r="I28" s="30"/>
      <c r="J28" s="30"/>
      <c r="K28" s="30"/>
      <c r="L28" s="30"/>
      <c r="M28" s="30"/>
    </row>
    <row r="29" spans="1:13" x14ac:dyDescent="0.2">
      <c r="A29" s="30"/>
      <c r="B29" s="29"/>
      <c r="C29" s="30"/>
      <c r="D29" s="34"/>
      <c r="E29" s="30"/>
      <c r="F29" s="30"/>
      <c r="G29" s="30"/>
      <c r="H29" s="30"/>
      <c r="I29" s="30"/>
      <c r="J29" s="30"/>
      <c r="K29" s="30"/>
      <c r="L29" s="30"/>
      <c r="M29" s="30"/>
    </row>
    <row r="30" spans="1:13" x14ac:dyDescent="0.2">
      <c r="A30" s="24" t="s">
        <v>12</v>
      </c>
      <c r="B30" s="29"/>
      <c r="C30" s="24" t="s">
        <v>7</v>
      </c>
      <c r="D30" s="34">
        <f>ROUNDUP(CEILING(B6*(B3+B4)/1000 *3.5,1024)/1024,0)</f>
        <v>127</v>
      </c>
      <c r="E30" s="30"/>
      <c r="F30" s="30"/>
      <c r="G30" s="30"/>
      <c r="H30" s="30"/>
      <c r="I30" s="30"/>
      <c r="J30" s="30"/>
      <c r="K30" s="30"/>
      <c r="L30" s="30"/>
      <c r="M30" s="30"/>
    </row>
    <row r="31" spans="1:13" x14ac:dyDescent="0.2">
      <c r="A31" s="30"/>
      <c r="B31" s="29"/>
      <c r="C31" s="24" t="s">
        <v>8</v>
      </c>
      <c r="D31" s="34">
        <f>ROUNDUP(CEILING(B6*(B3+B4)/1000 *3.5,1024)/1024/2,0)</f>
        <v>64</v>
      </c>
      <c r="E31" s="30"/>
      <c r="F31" s="30"/>
      <c r="G31" s="30"/>
      <c r="H31" s="30"/>
      <c r="I31" s="30"/>
      <c r="J31" s="30"/>
      <c r="K31" s="30"/>
      <c r="L31" s="30"/>
      <c r="M31" s="30"/>
    </row>
    <row r="32" spans="1:13" x14ac:dyDescent="0.2">
      <c r="A32" s="30"/>
      <c r="B32" s="29"/>
      <c r="C32" s="30"/>
      <c r="D32" s="34"/>
      <c r="E32" s="30"/>
      <c r="F32" s="30"/>
      <c r="G32" s="30"/>
      <c r="H32" s="30"/>
      <c r="I32" s="30"/>
      <c r="J32" s="30"/>
      <c r="K32" s="30"/>
      <c r="L32" s="30"/>
      <c r="M32" s="30"/>
    </row>
    <row r="33" spans="1:13" x14ac:dyDescent="0.2">
      <c r="A33" s="30"/>
      <c r="B33" s="29"/>
      <c r="C33" s="30"/>
      <c r="D33" s="34"/>
      <c r="E33" s="30"/>
      <c r="F33" s="30"/>
      <c r="G33" s="30"/>
      <c r="H33" s="30"/>
      <c r="I33" s="30"/>
      <c r="J33" s="30"/>
      <c r="K33" s="30"/>
      <c r="L33" s="30"/>
      <c r="M33" s="30"/>
    </row>
    <row r="34" spans="1:13" x14ac:dyDescent="0.2">
      <c r="A34" s="30"/>
      <c r="B34" s="29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</row>
    <row r="35" spans="1:13" x14ac:dyDescent="0.2">
      <c r="A35" s="30"/>
      <c r="B35" s="29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</row>
    <row r="36" spans="1:13" x14ac:dyDescent="0.2">
      <c r="A36" s="30"/>
      <c r="B36" s="29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</row>
    <row r="37" spans="1:13" x14ac:dyDescent="0.2">
      <c r="A37" s="30"/>
      <c r="B37" s="29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</row>
    <row r="38" spans="1:13" x14ac:dyDescent="0.2">
      <c r="A38" s="30"/>
      <c r="B38" s="29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</row>
  </sheetData>
  <sheetProtection algorithmName="SHA-512" hashValue="YqO5EHlWL8uvuSapEPixOC//qV/Z4WogYtFY7tuY4h34XUzjrSAkdLQu5vHAa5fm7e/YjiNBpJsu5hVdbFhRdQ==" saltValue="J5ms2woCjkqAoP/kQzX3Cw==" spinCount="100000" sheet="1" objects="1" scenarios="1" selectLockedCells="1" selectUnlockedCells="1"/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3"/>
  <sheetViews>
    <sheetView zoomScale="110" zoomScaleNormal="110" workbookViewId="0">
      <selection activeCell="D11" sqref="D11"/>
    </sheetView>
  </sheetViews>
  <sheetFormatPr baseColWidth="10" defaultColWidth="8.83203125" defaultRowHeight="15" x14ac:dyDescent="0.2"/>
  <cols>
    <col min="1" max="1" width="38.83203125" customWidth="1"/>
    <col min="2" max="2" width="12.5" style="4" customWidth="1"/>
    <col min="3" max="3" width="93.6640625" bestFit="1" customWidth="1"/>
    <col min="6" max="6" width="27.5" customWidth="1"/>
    <col min="7" max="11" width="8.5" customWidth="1"/>
    <col min="12" max="12" width="15.6640625" customWidth="1"/>
  </cols>
  <sheetData>
    <row r="1" spans="1:13" x14ac:dyDescent="0.2">
      <c r="A1" s="1" t="s">
        <v>9</v>
      </c>
    </row>
    <row r="2" spans="1:13" x14ac:dyDescent="0.2">
      <c r="F2" s="1"/>
      <c r="G2" s="5"/>
    </row>
    <row r="3" spans="1:13" x14ac:dyDescent="0.2">
      <c r="A3" s="1" t="s">
        <v>0</v>
      </c>
      <c r="B3" s="5">
        <f>'Y1'!B3*(1+'AAI Sizing'!E5)</f>
        <v>102010</v>
      </c>
      <c r="C3" s="1"/>
      <c r="F3" s="1"/>
      <c r="G3" s="19"/>
    </row>
    <row r="4" spans="1:13" x14ac:dyDescent="0.2">
      <c r="A4" s="1" t="s">
        <v>27</v>
      </c>
      <c r="B4" s="4">
        <f>'Y1'!B4*(1+'AAI Sizing'!E5)</f>
        <v>0</v>
      </c>
      <c r="F4" s="1"/>
      <c r="G4" s="19"/>
    </row>
    <row r="5" spans="1:13" x14ac:dyDescent="0.2">
      <c r="A5" s="1" t="s">
        <v>1</v>
      </c>
      <c r="B5" s="5">
        <f>'Y1'!B5</f>
        <v>1</v>
      </c>
      <c r="C5" s="1"/>
      <c r="F5" s="1"/>
      <c r="G5" s="5"/>
    </row>
    <row r="6" spans="1:13" x14ac:dyDescent="0.2">
      <c r="A6" s="1" t="s">
        <v>2</v>
      </c>
      <c r="B6" s="5">
        <f>'Y1'!B6</f>
        <v>365</v>
      </c>
      <c r="C6" s="1"/>
      <c r="F6" s="1"/>
      <c r="G6" s="5"/>
    </row>
    <row r="7" spans="1:13" x14ac:dyDescent="0.2">
      <c r="A7" s="1" t="s">
        <v>42</v>
      </c>
      <c r="B7" s="5">
        <f>'Y1'!B7</f>
        <v>48</v>
      </c>
      <c r="C7" s="1"/>
      <c r="F7" s="1"/>
      <c r="G7" s="5"/>
    </row>
    <row r="8" spans="1:13" x14ac:dyDescent="0.2">
      <c r="A8" s="1" t="s">
        <v>44</v>
      </c>
      <c r="B8" s="4">
        <f>'Y1'!B8</f>
        <v>48</v>
      </c>
      <c r="F8" s="1"/>
      <c r="G8" s="5"/>
    </row>
    <row r="9" spans="1:13" x14ac:dyDescent="0.2">
      <c r="C9" s="1"/>
    </row>
    <row r="10" spans="1:13" x14ac:dyDescent="0.2">
      <c r="A10" s="1" t="s">
        <v>10</v>
      </c>
      <c r="C10" s="1" t="s">
        <v>3</v>
      </c>
      <c r="D10" s="27">
        <f>IF(4+B5&gt;32, 32, 4+B5)</f>
        <v>5</v>
      </c>
    </row>
    <row r="11" spans="1:13" x14ac:dyDescent="0.2">
      <c r="C11" s="23" t="s">
        <v>62</v>
      </c>
      <c r="D11" s="28">
        <f>IF(B3+B4&lt;1000000,100,IF(B3+B4&lt;2500000,200,IF(B3+B4&lt;5000000,400,800)))</f>
        <v>100</v>
      </c>
      <c r="H11" s="1" t="s">
        <v>24</v>
      </c>
      <c r="I11" s="1"/>
      <c r="J11" s="1" t="s">
        <v>25</v>
      </c>
      <c r="L11" s="1" t="s">
        <v>53</v>
      </c>
    </row>
    <row r="12" spans="1:13" x14ac:dyDescent="0.2">
      <c r="D12" s="6"/>
    </row>
    <row r="13" spans="1:13" ht="16" x14ac:dyDescent="0.2">
      <c r="A13" s="16" t="s">
        <v>29</v>
      </c>
      <c r="C13" s="22" t="s">
        <v>30</v>
      </c>
      <c r="D13" s="6">
        <f>IF(B3+B4&lt;1000000,16,IF(B3+B4&lt;2500000,32,IF(B3+B4&lt;5000000,64,128)))</f>
        <v>16</v>
      </c>
      <c r="H13" s="12"/>
    </row>
    <row r="14" spans="1:13" ht="16" x14ac:dyDescent="0.2">
      <c r="C14" s="22" t="s">
        <v>31</v>
      </c>
      <c r="D14" s="6">
        <f>IF(B3+B4&lt;1000000,4,IF(B3+B4&lt;2500000,8,IF(B3+B4&lt;5000000,16,32)))</f>
        <v>4</v>
      </c>
      <c r="F14" t="s">
        <v>49</v>
      </c>
      <c r="G14" s="12"/>
      <c r="H14" s="12">
        <f>($B$3*BytesPerJobDefinition)/1000000</f>
        <v>3342.6636800000001</v>
      </c>
      <c r="I14" t="s">
        <v>50</v>
      </c>
      <c r="J14" s="12">
        <f>($B$4*BytesPerJobDefinition)/1000000</f>
        <v>0</v>
      </c>
      <c r="K14" t="s">
        <v>50</v>
      </c>
      <c r="L14" s="12"/>
    </row>
    <row r="15" spans="1:13" ht="16" x14ac:dyDescent="0.2">
      <c r="C15" s="22" t="s">
        <v>32</v>
      </c>
      <c r="D15" s="6">
        <f>IF(B3+B4&lt;1000000,100,IF(B3+B4&lt;2500000,200,IF(B3+B4&lt;5000000,400,800)))</f>
        <v>100</v>
      </c>
      <c r="F15" t="s">
        <v>47</v>
      </c>
      <c r="G15" s="12"/>
      <c r="H15" s="12"/>
      <c r="J15" s="12"/>
      <c r="L15" s="12">
        <f>((JobRunsPerDayY2*BytesPerJobRun)*((HoursOfCompletedRunsInMemory+HoursOfForecastedRunsInMemory)/24))/1000000</f>
        <v>2506.9977600000002</v>
      </c>
      <c r="M15" t="s">
        <v>50</v>
      </c>
    </row>
    <row r="16" spans="1:13" x14ac:dyDescent="0.2">
      <c r="C16" s="2"/>
      <c r="D16" s="6"/>
      <c r="F16" t="s">
        <v>48</v>
      </c>
      <c r="G16" s="12"/>
      <c r="H16" s="12">
        <f>($B$3*BytesPerJobInTheGraph*NumberOfGraphsForNonIWS)/1000000</f>
        <v>3760.4966399999998</v>
      </c>
      <c r="I16" t="s">
        <v>50</v>
      </c>
      <c r="J16" s="4">
        <f>$B$4*BytesPerJobInTheGraph*NumberOfGraphsForIWS/1000000</f>
        <v>0</v>
      </c>
      <c r="K16" t="s">
        <v>50</v>
      </c>
      <c r="L16" s="12"/>
    </row>
    <row r="17" spans="1:13" x14ac:dyDescent="0.2">
      <c r="C17" s="2"/>
      <c r="D17" s="6"/>
    </row>
    <row r="18" spans="1:13" x14ac:dyDescent="0.2">
      <c r="D18" s="6"/>
    </row>
    <row r="19" spans="1:13" x14ac:dyDescent="0.2">
      <c r="A19" s="1" t="s">
        <v>21</v>
      </c>
      <c r="C19" s="1" t="s">
        <v>30</v>
      </c>
      <c r="D19" s="6">
        <f>IF(B3+B4&lt;250000, 16, IF(B3+B4&lt;500000, 24,IF(B3+B4&lt;1000000, 32,IF(B3+B4&lt;2500000, 48, IF(B3+B4&lt;5000000,56,64)))))</f>
        <v>16</v>
      </c>
      <c r="H19" s="13">
        <f>SUM(H14:H16)/1000</f>
        <v>7.1031603199999997</v>
      </c>
      <c r="I19" t="s">
        <v>52</v>
      </c>
      <c r="J19" s="13">
        <f>SUM(J14:J16)/1000</f>
        <v>0</v>
      </c>
      <c r="K19" t="s">
        <v>52</v>
      </c>
      <c r="L19" s="13">
        <f>L15/1000</f>
        <v>2.5069977600000004</v>
      </c>
      <c r="M19" t="s">
        <v>52</v>
      </c>
    </row>
    <row r="20" spans="1:13" x14ac:dyDescent="0.2">
      <c r="C20" s="1" t="s">
        <v>33</v>
      </c>
      <c r="D20" s="6">
        <f>IF(B3+B4&lt;250000, 4, IF(B3+B4&lt;500000, 6,IF(B3+B4&lt;1000000, 8,IF(B3+B4&lt;2500000, 10, IF(B3+B4&lt;5000000,12,16)))))</f>
        <v>4</v>
      </c>
      <c r="F20" s="1" t="s">
        <v>54</v>
      </c>
      <c r="H20" s="13"/>
      <c r="J20" s="13"/>
      <c r="L20" s="20">
        <f>MemoryGBForOS+BasicMinMemory+ROUNDUP((H19+J19+L19)/MaxPercentMemUtilization,0)</f>
        <v>34</v>
      </c>
    </row>
    <row r="21" spans="1:13" x14ac:dyDescent="0.2">
      <c r="C21" s="1"/>
      <c r="D21" s="6"/>
    </row>
    <row r="22" spans="1:13" x14ac:dyDescent="0.2">
      <c r="C22" s="3"/>
      <c r="D22" s="6"/>
      <c r="G22" s="14"/>
      <c r="L22" s="14"/>
    </row>
    <row r="23" spans="1:13" x14ac:dyDescent="0.2">
      <c r="C23" s="2"/>
      <c r="D23" s="6"/>
    </row>
    <row r="24" spans="1:13" x14ac:dyDescent="0.2">
      <c r="D24" s="6"/>
    </row>
    <row r="25" spans="1:13" x14ac:dyDescent="0.2">
      <c r="A25" s="1" t="s">
        <v>11</v>
      </c>
      <c r="C25" s="1" t="s">
        <v>4</v>
      </c>
      <c r="D25" s="6">
        <f>ROUNDUP(CEILING((B6*(B3+B4))/1000 *0.5,1024)/1024,0)</f>
        <v>19</v>
      </c>
      <c r="H25" s="15"/>
    </row>
    <row r="26" spans="1:13" x14ac:dyDescent="0.2">
      <c r="C26" s="1" t="s">
        <v>5</v>
      </c>
      <c r="D26" s="6">
        <f>ROUNDUP(CEILING((B6*(B3+B4))/1000,1024)/1024,0)</f>
        <v>37</v>
      </c>
    </row>
    <row r="27" spans="1:13" x14ac:dyDescent="0.2">
      <c r="C27" s="1" t="s">
        <v>6</v>
      </c>
      <c r="D27" s="6">
        <f>ROUNDUP(CEILING((B6*(B3+B4))/1000 *0.5,1024)/4/1024,0)</f>
        <v>5</v>
      </c>
      <c r="G27" s="9"/>
    </row>
    <row r="28" spans="1:13" x14ac:dyDescent="0.2">
      <c r="D28" s="6"/>
    </row>
    <row r="29" spans="1:13" x14ac:dyDescent="0.2">
      <c r="D29" s="6"/>
    </row>
    <row r="30" spans="1:13" x14ac:dyDescent="0.2">
      <c r="A30" s="1" t="s">
        <v>12</v>
      </c>
      <c r="C30" s="1" t="s">
        <v>7</v>
      </c>
      <c r="D30" s="6">
        <f>ROUNDUP(CEILING(B6*(B3+B4)/1000 *3.5,1024)/1024,0)</f>
        <v>128</v>
      </c>
    </row>
    <row r="31" spans="1:13" x14ac:dyDescent="0.2">
      <c r="C31" s="1" t="s">
        <v>8</v>
      </c>
      <c r="D31" s="6">
        <f>ROUNDUP(CEILING(B6*(B3+B4)/1000 *3.5,1024)/1024/2,0)</f>
        <v>64</v>
      </c>
    </row>
    <row r="32" spans="1:13" x14ac:dyDescent="0.2">
      <c r="D32" s="6"/>
    </row>
    <row r="33" spans="4:4" x14ac:dyDescent="0.2">
      <c r="D33" s="6"/>
    </row>
  </sheetData>
  <sheetProtection algorithmName="SHA-512" hashValue="LmoQYphV+4KC++SGDh+TdvUy0dkBY3q0jeHGth8l1nrn8MiZtc5GT+aT0tTQjdHBoMp06xFc74sS6TQIqkNbDQ==" saltValue="5nl+OTKMb09Iz54ptX5bjQ==" spinCount="100000" sheet="1" objects="1" scenarios="1" selectLockedCells="1" selectUnlockedCells="1"/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M33"/>
  <sheetViews>
    <sheetView zoomScale="110" zoomScaleNormal="110" workbookViewId="0">
      <selection activeCell="D11" sqref="D11"/>
    </sheetView>
  </sheetViews>
  <sheetFormatPr baseColWidth="10" defaultColWidth="8.83203125" defaultRowHeight="15" x14ac:dyDescent="0.2"/>
  <cols>
    <col min="1" max="1" width="38.83203125" customWidth="1"/>
    <col min="2" max="2" width="10.83203125" style="4" customWidth="1"/>
    <col min="3" max="3" width="93.6640625" bestFit="1" customWidth="1"/>
    <col min="6" max="6" width="27.5" customWidth="1"/>
    <col min="7" max="11" width="8.5" customWidth="1"/>
    <col min="12" max="12" width="15.6640625" customWidth="1"/>
  </cols>
  <sheetData>
    <row r="1" spans="1:13" x14ac:dyDescent="0.2">
      <c r="A1" s="1" t="s">
        <v>9</v>
      </c>
    </row>
    <row r="2" spans="1:13" x14ac:dyDescent="0.2">
      <c r="F2" s="1"/>
      <c r="G2" s="5"/>
    </row>
    <row r="3" spans="1:13" x14ac:dyDescent="0.2">
      <c r="A3" s="1" t="s">
        <v>0</v>
      </c>
      <c r="B3" s="5">
        <f>'Y2'!B3*(1+'AAI Sizing'!F5)</f>
        <v>103030.1</v>
      </c>
      <c r="C3" s="1"/>
      <c r="F3" s="1"/>
      <c r="G3" s="19"/>
    </row>
    <row r="4" spans="1:13" x14ac:dyDescent="0.2">
      <c r="A4" s="1" t="s">
        <v>27</v>
      </c>
      <c r="B4" s="4">
        <f>'Y2'!B4*(1+'AAI Sizing'!F5)</f>
        <v>0</v>
      </c>
      <c r="F4" s="1"/>
      <c r="G4" s="19"/>
    </row>
    <row r="5" spans="1:13" x14ac:dyDescent="0.2">
      <c r="A5" s="1" t="s">
        <v>1</v>
      </c>
      <c r="B5" s="5">
        <f>'Y2'!B5</f>
        <v>1</v>
      </c>
      <c r="C5" s="1"/>
      <c r="F5" s="1"/>
      <c r="G5" s="5"/>
    </row>
    <row r="6" spans="1:13" x14ac:dyDescent="0.2">
      <c r="A6" s="1" t="s">
        <v>2</v>
      </c>
      <c r="B6" s="5">
        <f>'Y2'!B6</f>
        <v>365</v>
      </c>
      <c r="C6" s="1"/>
      <c r="F6" s="1"/>
      <c r="G6" s="5"/>
    </row>
    <row r="7" spans="1:13" x14ac:dyDescent="0.2">
      <c r="A7" s="1" t="s">
        <v>42</v>
      </c>
      <c r="B7" s="5">
        <f>'Y2'!B7</f>
        <v>48</v>
      </c>
      <c r="C7" s="1"/>
      <c r="F7" s="1"/>
      <c r="G7" s="5"/>
    </row>
    <row r="8" spans="1:13" x14ac:dyDescent="0.2">
      <c r="A8" s="1" t="s">
        <v>44</v>
      </c>
      <c r="B8" s="4">
        <f>'Y2'!B8</f>
        <v>48</v>
      </c>
      <c r="F8" s="1"/>
      <c r="G8" s="5"/>
    </row>
    <row r="9" spans="1:13" x14ac:dyDescent="0.2">
      <c r="C9" s="1"/>
    </row>
    <row r="10" spans="1:13" x14ac:dyDescent="0.2">
      <c r="A10" s="1" t="s">
        <v>10</v>
      </c>
      <c r="C10" s="1" t="s">
        <v>3</v>
      </c>
      <c r="D10" s="27">
        <f>IF(4+B5&gt;32, 32, 4+B5)</f>
        <v>5</v>
      </c>
    </row>
    <row r="11" spans="1:13" x14ac:dyDescent="0.2">
      <c r="C11" s="23" t="s">
        <v>62</v>
      </c>
      <c r="D11" s="28">
        <f>IF(B3+B4&lt;1000000,100,IF(B3+B4&lt;2500000,200,IF(B3+B4&lt;5000000,400,800)))</f>
        <v>100</v>
      </c>
      <c r="H11" t="s">
        <v>24</v>
      </c>
      <c r="J11" t="s">
        <v>25</v>
      </c>
      <c r="L11" s="1" t="s">
        <v>53</v>
      </c>
    </row>
    <row r="12" spans="1:13" x14ac:dyDescent="0.2">
      <c r="D12" s="6"/>
    </row>
    <row r="13" spans="1:13" ht="16" x14ac:dyDescent="0.2">
      <c r="A13" s="16" t="s">
        <v>29</v>
      </c>
      <c r="C13" s="22" t="s">
        <v>30</v>
      </c>
      <c r="D13" s="6">
        <f>IF(B3+B4&lt;1000000,16,IF(B3+B4&lt;2500000,32,IF(B3+B4&lt;5000000,64,128)))</f>
        <v>16</v>
      </c>
      <c r="H13" s="12"/>
    </row>
    <row r="14" spans="1:13" ht="16" x14ac:dyDescent="0.2">
      <c r="C14" s="22" t="s">
        <v>31</v>
      </c>
      <c r="D14" s="6">
        <f>IF(B3+B4&lt;1000000,4,IF(B3+B4&lt;2500000,8,IF(B3+B4&lt;5000000,16,32)))</f>
        <v>4</v>
      </c>
      <c r="F14" t="s">
        <v>49</v>
      </c>
      <c r="G14" s="12"/>
      <c r="H14" s="12">
        <f>($B$3*BytesPerJobDefinition)/1000000</f>
        <v>3376.0903168</v>
      </c>
      <c r="I14" t="s">
        <v>50</v>
      </c>
      <c r="J14" s="12">
        <f>($B$4*BytesPerJobDefinition)/1000000</f>
        <v>0</v>
      </c>
      <c r="K14" t="s">
        <v>50</v>
      </c>
      <c r="L14" s="12"/>
    </row>
    <row r="15" spans="1:13" ht="16" x14ac:dyDescent="0.2">
      <c r="C15" s="22" t="s">
        <v>32</v>
      </c>
      <c r="D15" s="6">
        <f>IF(B3+B4&lt;1000000,100,IF(B3+B4&lt;2500000,200,IF(B3+B4&lt;5000000,400,800)))</f>
        <v>100</v>
      </c>
      <c r="F15" t="s">
        <v>47</v>
      </c>
      <c r="G15" s="12"/>
      <c r="H15" s="12"/>
      <c r="J15" s="12"/>
      <c r="L15" s="12">
        <f>((JobRunsPerDayY3*BytesPerJobRun)*((HoursOfCompletedRunsInMemory+HoursOfForecastedRunsInMemory)/24))/1000000</f>
        <v>2532.0677376000003</v>
      </c>
      <c r="M15" t="s">
        <v>50</v>
      </c>
    </row>
    <row r="16" spans="1:13" x14ac:dyDescent="0.2">
      <c r="C16" s="2"/>
      <c r="D16" s="6"/>
      <c r="F16" t="s">
        <v>48</v>
      </c>
      <c r="G16" s="12"/>
      <c r="H16" s="12">
        <f>($B$3*BytesPerJobInTheGraph*NumberOfGraphsForNonIWS)/1000000</f>
        <v>3798.1016064</v>
      </c>
      <c r="I16" t="s">
        <v>50</v>
      </c>
      <c r="J16" s="4">
        <f>$B$4*BytesPerJobInTheGraph*NumberOfGraphsForIWS/1000000</f>
        <v>0</v>
      </c>
      <c r="K16" t="s">
        <v>50</v>
      </c>
      <c r="L16" s="12"/>
    </row>
    <row r="17" spans="1:13" x14ac:dyDescent="0.2">
      <c r="C17" s="2"/>
      <c r="D17" s="6"/>
    </row>
    <row r="18" spans="1:13" x14ac:dyDescent="0.2">
      <c r="D18" s="6"/>
    </row>
    <row r="19" spans="1:13" x14ac:dyDescent="0.2">
      <c r="A19" s="1" t="s">
        <v>21</v>
      </c>
      <c r="C19" s="1" t="s">
        <v>30</v>
      </c>
      <c r="D19" s="6">
        <f>IF(B3+B4&lt;250000, 16, IF(B3+B4&lt;500000, 24,IF(B3+B4&lt;1000000, 32,IF(B3+B4&lt;2500000, 48, IF(B3+B4&lt;5000000,56,64)))))</f>
        <v>16</v>
      </c>
      <c r="H19" s="13">
        <f>SUM(H14:H16)/1000</f>
        <v>7.1741919232000004</v>
      </c>
      <c r="I19" t="s">
        <v>52</v>
      </c>
      <c r="J19" s="13">
        <f>SUM(J14:J16)/1000</f>
        <v>0</v>
      </c>
      <c r="K19" t="s">
        <v>52</v>
      </c>
      <c r="L19" s="13">
        <f>L15/1000</f>
        <v>2.5320677376000003</v>
      </c>
      <c r="M19" t="s">
        <v>52</v>
      </c>
    </row>
    <row r="20" spans="1:13" x14ac:dyDescent="0.2">
      <c r="C20" s="1" t="s">
        <v>33</v>
      </c>
      <c r="D20" s="6">
        <f>IF(B3+B4&lt;250000, 4, IF(B3+B4&lt;500000, 6,IF(B3+B4&lt;1000000, 8,IF(B3+B4&lt;2500000, 10, IF(B3+B4&lt;5000000,12,16)))))</f>
        <v>4</v>
      </c>
      <c r="F20" s="1" t="s">
        <v>54</v>
      </c>
      <c r="H20" s="13"/>
      <c r="J20" s="13"/>
      <c r="L20" s="20">
        <f>MemoryGBForOS+BasicMinMemory+ROUNDUP((H19+J19+L19)/MaxPercentMemUtilization,0)</f>
        <v>34</v>
      </c>
    </row>
    <row r="21" spans="1:13" x14ac:dyDescent="0.2">
      <c r="C21" s="1"/>
      <c r="D21" s="6"/>
    </row>
    <row r="22" spans="1:13" x14ac:dyDescent="0.2">
      <c r="C22" s="3"/>
      <c r="D22" s="6"/>
      <c r="G22" s="14"/>
      <c r="L22" s="14"/>
    </row>
    <row r="23" spans="1:13" x14ac:dyDescent="0.2">
      <c r="C23" s="2"/>
      <c r="D23" s="6"/>
    </row>
    <row r="24" spans="1:13" x14ac:dyDescent="0.2">
      <c r="D24" s="6"/>
    </row>
    <row r="25" spans="1:13" x14ac:dyDescent="0.2">
      <c r="A25" s="1" t="s">
        <v>11</v>
      </c>
      <c r="C25" s="1" t="s">
        <v>4</v>
      </c>
      <c r="D25" s="6">
        <f>ROUNDUP(CEILING((B6*(B3+B4))/1000 *0.5,1024)/1024,0)</f>
        <v>19</v>
      </c>
      <c r="H25" s="15"/>
    </row>
    <row r="26" spans="1:13" x14ac:dyDescent="0.2">
      <c r="C26" s="1" t="s">
        <v>5</v>
      </c>
      <c r="D26" s="6">
        <f>ROUNDUP(CEILING((B6*(B3+B4))/1000,1024)/1024,0)</f>
        <v>37</v>
      </c>
    </row>
    <row r="27" spans="1:13" x14ac:dyDescent="0.2">
      <c r="C27" s="1" t="s">
        <v>6</v>
      </c>
      <c r="D27" s="6">
        <f>ROUNDUP(CEILING((B6*(B3+B4))/1000 *0.5,1024)/4/1024,0)</f>
        <v>5</v>
      </c>
      <c r="G27" s="9"/>
    </row>
    <row r="28" spans="1:13" x14ac:dyDescent="0.2">
      <c r="D28" s="6"/>
    </row>
    <row r="29" spans="1:13" x14ac:dyDescent="0.2">
      <c r="D29" s="6"/>
    </row>
    <row r="30" spans="1:13" x14ac:dyDescent="0.2">
      <c r="A30" s="1" t="s">
        <v>12</v>
      </c>
      <c r="C30" s="1" t="s">
        <v>7</v>
      </c>
      <c r="D30" s="6">
        <f>ROUNDUP(CEILING(B6*(B3+B4)/1000 *3.5,1024)/1024,0)</f>
        <v>129</v>
      </c>
    </row>
    <row r="31" spans="1:13" x14ac:dyDescent="0.2">
      <c r="C31" s="1" t="s">
        <v>8</v>
      </c>
      <c r="D31" s="6">
        <f>ROUNDUP(CEILING(B6*(B3+B4)/1000 *3.5,1024)/1024/2,0)</f>
        <v>65</v>
      </c>
    </row>
    <row r="32" spans="1:13" x14ac:dyDescent="0.2">
      <c r="D32" s="6"/>
    </row>
    <row r="33" spans="4:4" x14ac:dyDescent="0.2">
      <c r="D33" s="6"/>
    </row>
  </sheetData>
  <sheetProtection algorithmName="SHA-512" hashValue="FgTuxZRivg6qAVCtOAR4KzSEwiVuyQ1sSn22UhDbSOi06u8jqKEP/R3jlpRFfEt00VFplNRnqEzW80uUD654fA==" saltValue="wkFoShTVmHzJNZQec4S+sw==" spinCount="100000" sheet="1" objects="1" scenarios="1" selectLockedCells="1" selectUnlockedCells="1"/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32"/>
  <sheetViews>
    <sheetView zoomScale="110" zoomScaleNormal="110" workbookViewId="0">
      <selection activeCell="D11" sqref="D11"/>
    </sheetView>
  </sheetViews>
  <sheetFormatPr baseColWidth="10" defaultColWidth="8.83203125" defaultRowHeight="15" x14ac:dyDescent="0.2"/>
  <cols>
    <col min="1" max="1" width="38.83203125" customWidth="1"/>
    <col min="2" max="2" width="10.33203125" style="4" customWidth="1"/>
    <col min="3" max="3" width="93.6640625" bestFit="1" customWidth="1"/>
    <col min="6" max="6" width="27.5" customWidth="1"/>
    <col min="7" max="11" width="8.5" customWidth="1"/>
    <col min="12" max="12" width="15.6640625" customWidth="1"/>
  </cols>
  <sheetData>
    <row r="1" spans="1:13" x14ac:dyDescent="0.2">
      <c r="A1" s="1" t="s">
        <v>9</v>
      </c>
    </row>
    <row r="2" spans="1:13" x14ac:dyDescent="0.2">
      <c r="F2" s="1"/>
      <c r="G2" s="5"/>
    </row>
    <row r="3" spans="1:13" x14ac:dyDescent="0.2">
      <c r="A3" s="1" t="s">
        <v>0</v>
      </c>
      <c r="B3" s="5">
        <f>'Y3'!B3*(1+'AAI Sizing'!G5)</f>
        <v>104060.40100000001</v>
      </c>
      <c r="C3" s="1"/>
      <c r="F3" s="1"/>
      <c r="G3" s="19"/>
    </row>
    <row r="4" spans="1:13" x14ac:dyDescent="0.2">
      <c r="A4" s="1" t="s">
        <v>27</v>
      </c>
      <c r="B4" s="4">
        <f>'Y3'!B4*(1+'AAI Sizing'!G5)</f>
        <v>0</v>
      </c>
      <c r="F4" s="1"/>
      <c r="G4" s="19"/>
    </row>
    <row r="5" spans="1:13" x14ac:dyDescent="0.2">
      <c r="A5" s="1" t="s">
        <v>1</v>
      </c>
      <c r="B5" s="5">
        <f>'Y3'!B5</f>
        <v>1</v>
      </c>
      <c r="C5" s="1"/>
      <c r="F5" s="1"/>
      <c r="G5" s="5"/>
    </row>
    <row r="6" spans="1:13" x14ac:dyDescent="0.2">
      <c r="A6" s="1" t="s">
        <v>2</v>
      </c>
      <c r="B6" s="5">
        <f>'Y3'!B6</f>
        <v>365</v>
      </c>
      <c r="C6" s="1"/>
      <c r="F6" s="1"/>
      <c r="G6" s="5"/>
    </row>
    <row r="7" spans="1:13" x14ac:dyDescent="0.2">
      <c r="A7" s="1" t="s">
        <v>42</v>
      </c>
      <c r="B7" s="5">
        <f>'Y3'!B7</f>
        <v>48</v>
      </c>
      <c r="C7" s="1"/>
      <c r="F7" s="1"/>
      <c r="G7" s="5"/>
    </row>
    <row r="8" spans="1:13" x14ac:dyDescent="0.2">
      <c r="A8" s="1" t="s">
        <v>44</v>
      </c>
      <c r="B8" s="4">
        <f>'Y3'!B8</f>
        <v>48</v>
      </c>
      <c r="F8" s="1"/>
      <c r="G8" s="5"/>
    </row>
    <row r="9" spans="1:13" x14ac:dyDescent="0.2">
      <c r="C9" s="1"/>
    </row>
    <row r="10" spans="1:13" x14ac:dyDescent="0.2">
      <c r="A10" s="1" t="s">
        <v>10</v>
      </c>
      <c r="C10" s="1" t="s">
        <v>3</v>
      </c>
      <c r="D10" s="27">
        <f>IF(4+B5&gt;32, 32, 4+B5)</f>
        <v>5</v>
      </c>
    </row>
    <row r="11" spans="1:13" x14ac:dyDescent="0.2">
      <c r="C11" s="23" t="s">
        <v>62</v>
      </c>
      <c r="D11" s="28">
        <f>IF(B3+B4&lt;1000000,100,IF(B3+B4&lt;2500000,200,IF(B3+B4&lt;5000000,400,800)))</f>
        <v>100</v>
      </c>
      <c r="H11" s="1" t="s">
        <v>24</v>
      </c>
      <c r="I11" s="1"/>
      <c r="J11" s="1" t="s">
        <v>25</v>
      </c>
      <c r="K11" s="1"/>
      <c r="L11" s="1" t="s">
        <v>53</v>
      </c>
    </row>
    <row r="12" spans="1:13" x14ac:dyDescent="0.2">
      <c r="D12" s="6"/>
    </row>
    <row r="13" spans="1:13" ht="16" x14ac:dyDescent="0.2">
      <c r="A13" s="16" t="s">
        <v>29</v>
      </c>
      <c r="C13" s="22" t="s">
        <v>30</v>
      </c>
      <c r="D13" s="6">
        <f>IF(B3+B4&lt;1000000,16,IF(B3+B4&lt;2500000,32,IF(B3+B4&lt;5000000,64,128)))</f>
        <v>16</v>
      </c>
      <c r="H13" s="12"/>
    </row>
    <row r="14" spans="1:13" ht="16" x14ac:dyDescent="0.2">
      <c r="C14" s="22" t="s">
        <v>31</v>
      </c>
      <c r="D14" s="6">
        <f>IF(B3+B4&lt;1000000,4,IF(B3+B4&lt;2500000,8,IF(B3+B4&lt;5000000,16,32)))</f>
        <v>4</v>
      </c>
      <c r="F14" t="s">
        <v>49</v>
      </c>
      <c r="G14" s="12"/>
      <c r="H14" s="12">
        <f>($B$3*BytesPerJobDefinition)/1000000</f>
        <v>3409.8512199680004</v>
      </c>
      <c r="I14" t="s">
        <v>50</v>
      </c>
      <c r="J14" s="12">
        <f>($B$4*BytesPerJobDefinition)/1000000</f>
        <v>0</v>
      </c>
      <c r="K14" t="s">
        <v>50</v>
      </c>
      <c r="L14" s="12"/>
    </row>
    <row r="15" spans="1:13" ht="16" x14ac:dyDescent="0.2">
      <c r="C15" s="22" t="s">
        <v>32</v>
      </c>
      <c r="D15" s="6">
        <f>IF(B3+B4&lt;1000000,100,IF(B3+B4&lt;2500000,200,IF(B3+B4&lt;5000000,400,800)))</f>
        <v>100</v>
      </c>
      <c r="F15" t="s">
        <v>47</v>
      </c>
      <c r="G15" s="12"/>
      <c r="H15" s="12"/>
      <c r="J15" s="12"/>
      <c r="L15" s="12">
        <f>((JobRunsPerDayY4*BytesPerJobRun)*((HoursOfCompletedRunsInMemory+HoursOfForecastedRunsInMemory)/24))/1000000</f>
        <v>2557.3884149760001</v>
      </c>
      <c r="M15" t="s">
        <v>50</v>
      </c>
    </row>
    <row r="16" spans="1:13" x14ac:dyDescent="0.2">
      <c r="C16" s="2"/>
      <c r="D16" s="6"/>
      <c r="F16" t="s">
        <v>48</v>
      </c>
      <c r="G16" s="12"/>
      <c r="H16" s="12">
        <f>($B$3*BytesPerJobInTheGraph*NumberOfGraphsForNonIWS)/1000000</f>
        <v>3836.0826224640009</v>
      </c>
      <c r="I16" t="s">
        <v>50</v>
      </c>
      <c r="J16" s="4">
        <f>$B$4*BytesPerJobInTheGraph*NumberOfGraphsForIWS/1000000</f>
        <v>0</v>
      </c>
      <c r="K16" t="s">
        <v>50</v>
      </c>
      <c r="L16" s="12"/>
    </row>
    <row r="17" spans="1:13" x14ac:dyDescent="0.2">
      <c r="C17" s="2"/>
      <c r="D17" s="6"/>
    </row>
    <row r="18" spans="1:13" x14ac:dyDescent="0.2">
      <c r="D18" s="6"/>
    </row>
    <row r="19" spans="1:13" x14ac:dyDescent="0.2">
      <c r="A19" s="1" t="s">
        <v>21</v>
      </c>
      <c r="C19" s="1" t="s">
        <v>30</v>
      </c>
      <c r="D19" s="6">
        <f>IF(B3+B4&lt;250000, 16, IF(B3+B4&lt;500000, 24,IF(B3+B4&lt;1000000, 32,IF(B3+B4&lt;2500000, 48, IF(B3+B4&lt;5000000,56,64)))))</f>
        <v>16</v>
      </c>
      <c r="H19" s="13">
        <f>SUM(H14:H16)/1000</f>
        <v>7.2459338424320014</v>
      </c>
      <c r="I19" t="s">
        <v>52</v>
      </c>
      <c r="J19" s="13">
        <f>SUM(J14:J16)/1000</f>
        <v>0</v>
      </c>
      <c r="K19" t="s">
        <v>52</v>
      </c>
      <c r="L19" s="13">
        <f>L15/1000</f>
        <v>2.5573884149760002</v>
      </c>
      <c r="M19" t="s">
        <v>52</v>
      </c>
    </row>
    <row r="20" spans="1:13" x14ac:dyDescent="0.2">
      <c r="C20" s="1" t="s">
        <v>33</v>
      </c>
      <c r="D20" s="6">
        <f>IF(B3+B4&lt;250000, 4, IF(B3+B4&lt;500000, 6,IF(B3+B4&lt;1000000, 8,IF(B3+B4&lt;2500000, 10, IF(B3+B4&lt;5000000,12,16)))))</f>
        <v>4</v>
      </c>
      <c r="F20" s="1" t="s">
        <v>54</v>
      </c>
      <c r="H20" s="13"/>
      <c r="J20" s="13"/>
      <c r="L20" s="20">
        <f>MemoryGBForOS+BasicMinMemory+ROUNDUP((H19+J19+L19)/MaxPercentMemUtilization,0)</f>
        <v>34</v>
      </c>
    </row>
    <row r="21" spans="1:13" x14ac:dyDescent="0.2">
      <c r="C21" s="1"/>
      <c r="D21" s="6"/>
    </row>
    <row r="22" spans="1:13" x14ac:dyDescent="0.2">
      <c r="C22" s="3"/>
      <c r="D22" s="6"/>
      <c r="G22" s="14"/>
      <c r="L22" s="14"/>
    </row>
    <row r="23" spans="1:13" x14ac:dyDescent="0.2">
      <c r="C23" s="2"/>
      <c r="D23" s="6"/>
    </row>
    <row r="24" spans="1:13" x14ac:dyDescent="0.2">
      <c r="D24" s="6"/>
    </row>
    <row r="25" spans="1:13" x14ac:dyDescent="0.2">
      <c r="A25" s="1" t="s">
        <v>11</v>
      </c>
      <c r="C25" s="1" t="s">
        <v>4</v>
      </c>
      <c r="D25" s="6">
        <f>ROUNDUP(CEILING((B6*(B3+B4))/1000 *0.5,1024)/1024,0)</f>
        <v>19</v>
      </c>
      <c r="H25" s="15"/>
    </row>
    <row r="26" spans="1:13" x14ac:dyDescent="0.2">
      <c r="C26" s="1" t="s">
        <v>5</v>
      </c>
      <c r="D26" s="6">
        <f>ROUNDUP(CEILING((B6*(B3+B4))/1000,1024)/1024,0)</f>
        <v>38</v>
      </c>
    </row>
    <row r="27" spans="1:13" x14ac:dyDescent="0.2">
      <c r="C27" s="1" t="s">
        <v>6</v>
      </c>
      <c r="D27" s="6">
        <f>ROUNDUP(CEILING((B6*(B3+B4))/1000 *0.5,1024)/4/1024,0)</f>
        <v>5</v>
      </c>
      <c r="G27" s="9"/>
    </row>
    <row r="28" spans="1:13" x14ac:dyDescent="0.2">
      <c r="D28" s="6"/>
    </row>
    <row r="29" spans="1:13" x14ac:dyDescent="0.2">
      <c r="D29" s="6"/>
    </row>
    <row r="30" spans="1:13" x14ac:dyDescent="0.2">
      <c r="A30" s="1" t="s">
        <v>12</v>
      </c>
      <c r="C30" s="1" t="s">
        <v>7</v>
      </c>
      <c r="D30" s="6">
        <f>ROUNDUP(CEILING(B6*(B3+B4)/1000 *3.5,1024)/1024,0)</f>
        <v>130</v>
      </c>
    </row>
    <row r="31" spans="1:13" x14ac:dyDescent="0.2">
      <c r="C31" s="1" t="s">
        <v>8</v>
      </c>
      <c r="D31" s="6">
        <f>ROUNDUP(CEILING(B6*(B3+B4)/1000 *3.5,1024)/1024/2,0)</f>
        <v>65</v>
      </c>
    </row>
    <row r="32" spans="1:13" x14ac:dyDescent="0.2">
      <c r="D32" s="6"/>
    </row>
  </sheetData>
  <sheetProtection algorithmName="SHA-512" hashValue="2M4dN4IEEEOTR9O93/sFjX1qJbfl50hDxJWnehKeO6eJbpDIzf9sS57SRcKmAjtuudZrABK9b9E+PXlmvU8ttg==" saltValue="GFFuLDttCinGpkThknq9NQ==" spinCount="100000" sheet="1" objects="1" scenarios="1" selectLockedCells="1" selectUnlockedCells="1"/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M38"/>
  <sheetViews>
    <sheetView zoomScale="110" zoomScaleNormal="110" workbookViewId="0">
      <selection activeCell="D11" sqref="D11"/>
    </sheetView>
  </sheetViews>
  <sheetFormatPr baseColWidth="10" defaultColWidth="8.83203125" defaultRowHeight="15" x14ac:dyDescent="0.2"/>
  <cols>
    <col min="1" max="1" width="38.83203125" customWidth="1"/>
    <col min="2" max="2" width="10.5" style="4" customWidth="1"/>
    <col min="3" max="3" width="93.6640625" bestFit="1" customWidth="1"/>
    <col min="6" max="6" width="27.5" customWidth="1"/>
    <col min="7" max="11" width="8.5" customWidth="1"/>
    <col min="12" max="12" width="16.33203125" customWidth="1"/>
  </cols>
  <sheetData>
    <row r="1" spans="1:13" x14ac:dyDescent="0.2">
      <c r="A1" s="1" t="s">
        <v>9</v>
      </c>
    </row>
    <row r="2" spans="1:13" x14ac:dyDescent="0.2">
      <c r="F2" s="1"/>
      <c r="G2" s="5"/>
    </row>
    <row r="3" spans="1:13" x14ac:dyDescent="0.2">
      <c r="A3" s="1" t="s">
        <v>0</v>
      </c>
      <c r="B3" s="5">
        <f>'Y4'!B3*(1+'AAI Sizing'!H5)</f>
        <v>105101.00501000001</v>
      </c>
      <c r="C3" s="1"/>
      <c r="F3" s="1"/>
      <c r="G3" s="19"/>
    </row>
    <row r="4" spans="1:13" x14ac:dyDescent="0.2">
      <c r="A4" s="1" t="s">
        <v>27</v>
      </c>
      <c r="B4" s="4">
        <f>'Y4'!B4*(1+'AAI Sizing'!H5)</f>
        <v>0</v>
      </c>
      <c r="F4" s="1"/>
      <c r="G4" s="19"/>
    </row>
    <row r="5" spans="1:13" x14ac:dyDescent="0.2">
      <c r="A5" s="1" t="s">
        <v>1</v>
      </c>
      <c r="B5" s="5">
        <f>'Y3'!B5</f>
        <v>1</v>
      </c>
      <c r="C5" s="1"/>
      <c r="F5" s="1"/>
      <c r="G5" s="5"/>
    </row>
    <row r="6" spans="1:13" x14ac:dyDescent="0.2">
      <c r="A6" s="1" t="s">
        <v>2</v>
      </c>
      <c r="B6" s="5">
        <f>'Y3'!B6</f>
        <v>365</v>
      </c>
      <c r="C6" s="1"/>
      <c r="F6" s="1"/>
      <c r="G6" s="5"/>
    </row>
    <row r="7" spans="1:13" x14ac:dyDescent="0.2">
      <c r="A7" s="1" t="s">
        <v>42</v>
      </c>
      <c r="B7" s="5">
        <f>'Y4'!B7</f>
        <v>48</v>
      </c>
      <c r="C7" s="1"/>
      <c r="F7" s="1"/>
      <c r="G7" s="5"/>
    </row>
    <row r="8" spans="1:13" x14ac:dyDescent="0.2">
      <c r="A8" s="1" t="s">
        <v>44</v>
      </c>
      <c r="B8" s="4">
        <f>'Y4'!B8</f>
        <v>48</v>
      </c>
      <c r="F8" s="1"/>
      <c r="G8" s="5"/>
    </row>
    <row r="9" spans="1:13" x14ac:dyDescent="0.2">
      <c r="C9" s="1"/>
    </row>
    <row r="10" spans="1:13" x14ac:dyDescent="0.2">
      <c r="A10" s="1" t="s">
        <v>10</v>
      </c>
      <c r="C10" s="1" t="s">
        <v>3</v>
      </c>
      <c r="D10" s="27">
        <f>IF(4+B5&gt;32, 32, 4+B5)</f>
        <v>5</v>
      </c>
    </row>
    <row r="11" spans="1:13" x14ac:dyDescent="0.2">
      <c r="C11" s="23" t="s">
        <v>62</v>
      </c>
      <c r="D11" s="28">
        <f>IF(B3+B4&lt;1000000,100,IF(B3+B4&lt;2500000,200,IF(B3+B4&lt;5000000,400,800)))</f>
        <v>100</v>
      </c>
      <c r="H11" s="1" t="s">
        <v>24</v>
      </c>
      <c r="I11" s="1"/>
      <c r="J11" s="1" t="s">
        <v>25</v>
      </c>
      <c r="K11" s="1"/>
      <c r="L11" s="1" t="s">
        <v>53</v>
      </c>
    </row>
    <row r="12" spans="1:13" x14ac:dyDescent="0.2">
      <c r="D12" s="6"/>
    </row>
    <row r="13" spans="1:13" ht="16" x14ac:dyDescent="0.2">
      <c r="A13" s="16" t="s">
        <v>29</v>
      </c>
      <c r="C13" s="22" t="s">
        <v>30</v>
      </c>
      <c r="D13" s="6">
        <f>IF(B3+B4&lt;1000000,16,IF(B3+B4&lt;2500000,32,IF(B3+B4&lt;5000000,64,128)))</f>
        <v>16</v>
      </c>
      <c r="H13" s="12"/>
    </row>
    <row r="14" spans="1:13" ht="16" x14ac:dyDescent="0.2">
      <c r="C14" s="22" t="s">
        <v>31</v>
      </c>
      <c r="D14" s="6">
        <f>IF(B3+B4&lt;1000000,4,IF(B3+B4&lt;2500000,8,IF(B3+B4&lt;5000000,16,32)))</f>
        <v>4</v>
      </c>
      <c r="F14" t="s">
        <v>49</v>
      </c>
      <c r="G14" s="12"/>
      <c r="H14" s="12">
        <f>($B$3*BytesPerJobDefinition)/1000000</f>
        <v>3443.9497321676804</v>
      </c>
      <c r="I14" t="s">
        <v>50</v>
      </c>
      <c r="J14" s="12">
        <f>($B$4*BytesPerJobDefinition)/1000000</f>
        <v>0</v>
      </c>
      <c r="K14" t="s">
        <v>50</v>
      </c>
      <c r="L14" s="12"/>
    </row>
    <row r="15" spans="1:13" ht="16" x14ac:dyDescent="0.2">
      <c r="C15" s="22" t="s">
        <v>32</v>
      </c>
      <c r="D15" s="6">
        <f>IF(B3+B4&lt;1000000,100,IF(B3+B4&lt;2500000,200,IF(B3+B4&lt;5000000,400,800)))</f>
        <v>100</v>
      </c>
      <c r="F15" t="s">
        <v>47</v>
      </c>
      <c r="G15" s="12"/>
      <c r="H15" s="12"/>
      <c r="J15" s="12"/>
      <c r="L15" s="12">
        <f>((JobRunsPerDayY5*BytesPerJobRun)*((HoursOfCompletedRunsInMemory+HoursOfForecastedRunsInMemory)/24))/1000000</f>
        <v>2582.9622991257602</v>
      </c>
      <c r="M15" t="s">
        <v>50</v>
      </c>
    </row>
    <row r="16" spans="1:13" x14ac:dyDescent="0.2">
      <c r="C16" s="2"/>
      <c r="D16" s="6"/>
      <c r="F16" t="s">
        <v>48</v>
      </c>
      <c r="G16" s="12"/>
      <c r="H16" s="12">
        <f>($B$3*BytesPerJobInTheGraph*NumberOfGraphsForNonIWS)/1000000</f>
        <v>3874.4434486886403</v>
      </c>
      <c r="I16" t="s">
        <v>50</v>
      </c>
      <c r="J16" s="4">
        <f>$B$4*BytesPerJobInTheGraph*NumberOfGraphsForIWS/1000000</f>
        <v>0</v>
      </c>
      <c r="K16" t="s">
        <v>50</v>
      </c>
      <c r="L16" s="12"/>
    </row>
    <row r="17" spans="1:13" x14ac:dyDescent="0.2">
      <c r="C17" s="2"/>
      <c r="D17" s="6"/>
    </row>
    <row r="18" spans="1:13" x14ac:dyDescent="0.2">
      <c r="D18" s="6"/>
    </row>
    <row r="19" spans="1:13" x14ac:dyDescent="0.2">
      <c r="A19" s="1" t="s">
        <v>21</v>
      </c>
      <c r="C19" s="1" t="s">
        <v>30</v>
      </c>
      <c r="D19" s="6">
        <f>IF(B3+B4&lt;250000, 16, IF(B3+B4&lt;500000, 24,IF(B3+B4&lt;1000000, 32,IF(B3+B4&lt;2500000, 48, IF(B3+B4&lt;5000000,56,64)))))</f>
        <v>16</v>
      </c>
      <c r="H19" s="13">
        <f>SUM(H14:H16)/1000</f>
        <v>7.3183931808563214</v>
      </c>
      <c r="I19" t="s">
        <v>52</v>
      </c>
      <c r="J19" s="13">
        <f>SUM(J14:J16)/1000</f>
        <v>0</v>
      </c>
      <c r="K19" t="s">
        <v>52</v>
      </c>
      <c r="L19" s="13">
        <f>L15/1000</f>
        <v>2.5829622991257604</v>
      </c>
      <c r="M19" t="s">
        <v>52</v>
      </c>
    </row>
    <row r="20" spans="1:13" x14ac:dyDescent="0.2">
      <c r="C20" s="1" t="s">
        <v>33</v>
      </c>
      <c r="D20" s="6">
        <f>IF(B3+B4&lt;250000, 4, IF(B3+B4&lt;500000, 6,IF(B3+B4&lt;1000000, 8,IF(B3+B4&lt;2500000, 10, IF(B3+B4&lt;5000000,12,16)))))</f>
        <v>4</v>
      </c>
      <c r="F20" s="1" t="s">
        <v>54</v>
      </c>
      <c r="H20" s="13"/>
      <c r="J20" s="13"/>
      <c r="L20" s="20">
        <f>MemoryGBForOS+BasicMinMemory+ROUNDUP((H19+J19+L19)/MaxPercentMemUtilization,0)</f>
        <v>34</v>
      </c>
    </row>
    <row r="21" spans="1:13" x14ac:dyDescent="0.2">
      <c r="C21" s="1"/>
      <c r="D21" s="6"/>
    </row>
    <row r="22" spans="1:13" x14ac:dyDescent="0.2">
      <c r="C22" s="3"/>
      <c r="D22" s="6"/>
      <c r="G22" s="14"/>
      <c r="L22" s="14"/>
    </row>
    <row r="23" spans="1:13" x14ac:dyDescent="0.2">
      <c r="C23" s="2"/>
      <c r="D23" s="6"/>
    </row>
    <row r="24" spans="1:13" x14ac:dyDescent="0.2">
      <c r="D24" s="6"/>
    </row>
    <row r="25" spans="1:13" x14ac:dyDescent="0.2">
      <c r="A25" s="1" t="s">
        <v>11</v>
      </c>
      <c r="C25" s="1" t="s">
        <v>4</v>
      </c>
      <c r="D25" s="6">
        <f>ROUNDUP(CEILING((B6*(B3+B4))/1000 *0.5,1024)/1024,0)</f>
        <v>19</v>
      </c>
      <c r="H25" s="15"/>
    </row>
    <row r="26" spans="1:13" x14ac:dyDescent="0.2">
      <c r="C26" s="1" t="s">
        <v>5</v>
      </c>
      <c r="D26" s="6">
        <f>ROUNDUP(CEILING((B6*(B3+B4))/1000,1024)/1024,0)</f>
        <v>38</v>
      </c>
    </row>
    <row r="27" spans="1:13" x14ac:dyDescent="0.2">
      <c r="C27" s="1" t="s">
        <v>6</v>
      </c>
      <c r="D27" s="6">
        <f>ROUNDUP(CEILING((B6*(B3+B4))/1000 *0.5,1024)/4/1024,0)</f>
        <v>5</v>
      </c>
      <c r="G27" s="9"/>
    </row>
    <row r="28" spans="1:13" x14ac:dyDescent="0.2">
      <c r="D28" s="6"/>
    </row>
    <row r="29" spans="1:13" x14ac:dyDescent="0.2">
      <c r="D29" s="6"/>
    </row>
    <row r="30" spans="1:13" x14ac:dyDescent="0.2">
      <c r="A30" s="1" t="s">
        <v>12</v>
      </c>
      <c r="C30" s="1" t="s">
        <v>7</v>
      </c>
      <c r="D30" s="6">
        <f>ROUNDUP(CEILING(B6*(B3+B4)/1000 *3.5,1024)/1024,0)</f>
        <v>132</v>
      </c>
    </row>
    <row r="31" spans="1:13" x14ac:dyDescent="0.2">
      <c r="C31" s="1" t="s">
        <v>8</v>
      </c>
      <c r="D31" s="6">
        <f>ROUNDUP(CEILING(B6*(B3+B4)/1000 *3.5,1024)/1024/2,0)</f>
        <v>66</v>
      </c>
    </row>
    <row r="38" ht="16" customHeight="1" x14ac:dyDescent="0.2"/>
  </sheetData>
  <sheetProtection algorithmName="SHA-512" hashValue="mlVYcKrXexHI6YvDR9VXEEAYgB5UImJbf80uJYZcb0Z0ebBKVJ8bWxdgM/KBx7aNL5XxvGE7FU9DCjuOTRjF6Q==" saltValue="8SLkeozGl2P/VWvEp/iOWg==" spinCount="100000" sheet="1" objects="1" scenarios="1" selectLockedCells="1" selectUnlockedCells="1"/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39</vt:i4>
      </vt:variant>
    </vt:vector>
  </HeadingPairs>
  <TitlesOfParts>
    <vt:vector size="46" baseType="lpstr">
      <vt:lpstr>AAI Sizing</vt:lpstr>
      <vt:lpstr>Initial</vt:lpstr>
      <vt:lpstr>Y1</vt:lpstr>
      <vt:lpstr>Y2</vt:lpstr>
      <vt:lpstr>Y3</vt:lpstr>
      <vt:lpstr>Y4</vt:lpstr>
      <vt:lpstr>Y5</vt:lpstr>
      <vt:lpstr>BasicMinMemory</vt:lpstr>
      <vt:lpstr>BytesPerJobDefinition</vt:lpstr>
      <vt:lpstr>BytesPerJobInTheGraph</vt:lpstr>
      <vt:lpstr>BytesPerJobRun</vt:lpstr>
      <vt:lpstr>DaysOfHistoryRetention</vt:lpstr>
      <vt:lpstr>HoursOfCompletedRunsInMemory</vt:lpstr>
      <vt:lpstr>HoursOfForecastedRunsInMemory</vt:lpstr>
      <vt:lpstr>IWSJobCountInitial</vt:lpstr>
      <vt:lpstr>IWSJobCountY1</vt:lpstr>
      <vt:lpstr>JobCountGrowthPerYear</vt:lpstr>
      <vt:lpstr>JobCountNonIWS</vt:lpstr>
      <vt:lpstr>JobCountY1</vt:lpstr>
      <vt:lpstr>JobDefinitionCountIWS</vt:lpstr>
      <vt:lpstr>JobDefinitionCountNonIWS</vt:lpstr>
      <vt:lpstr>JobRunsPerDay</vt:lpstr>
      <vt:lpstr>JobRunsPerDayInitial</vt:lpstr>
      <vt:lpstr>JobRunsPerDayY1</vt:lpstr>
      <vt:lpstr>JobRunsPerDayY2</vt:lpstr>
      <vt:lpstr>JobRunsPerDayY3</vt:lpstr>
      <vt:lpstr>JobRunsPerDayY4</vt:lpstr>
      <vt:lpstr>JobRunsPerDayY5</vt:lpstr>
      <vt:lpstr>MaxPercentMemUtilization</vt:lpstr>
      <vt:lpstr>MemoryForJobRuns</vt:lpstr>
      <vt:lpstr>MemoryGBForOS</vt:lpstr>
      <vt:lpstr>MemoryJobDefsIWSJobs</vt:lpstr>
      <vt:lpstr>MemoryJobDefsNonIWSJobs</vt:lpstr>
      <vt:lpstr>MemoryNonIWSJobs</vt:lpstr>
      <vt:lpstr>MemoryPredictionGraphIWSJobs</vt:lpstr>
      <vt:lpstr>MemoryPredictionGraphNonIWSJobs</vt:lpstr>
      <vt:lpstr>NumberOfDaysOfHistory</vt:lpstr>
      <vt:lpstr>NumberOfGraphsForIWS</vt:lpstr>
      <vt:lpstr>NumberOfGraphsForNonIWS</vt:lpstr>
      <vt:lpstr>NumberOfSchedulerInstances</vt:lpstr>
      <vt:lpstr>PercentageOfJobRunGrowthPerYear</vt:lpstr>
      <vt:lpstr>TotalMemoryForJobDefs</vt:lpstr>
      <vt:lpstr>TotalMemoryForJobDefsIWS</vt:lpstr>
      <vt:lpstr>TotalMemoryForJobDefsIWSJobs</vt:lpstr>
      <vt:lpstr>TotalMemoryForJobDefsNonIWS</vt:lpstr>
      <vt:lpstr>TotalMemoryForJobRuns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Szettella</dc:creator>
  <cp:lastModifiedBy>Martin Rybczynski</cp:lastModifiedBy>
  <cp:lastPrinted>2018-10-25T12:05:28Z</cp:lastPrinted>
  <dcterms:created xsi:type="dcterms:W3CDTF">2018-10-22T22:35:32Z</dcterms:created>
  <dcterms:modified xsi:type="dcterms:W3CDTF">2024-06-28T18:23:29Z</dcterms:modified>
</cp:coreProperties>
</file>